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xr:revisionPtr revIDLastSave="0" documentId="8_{4D55396D-4409-43C7-BBE9-2109ABF75A65}" xr6:coauthVersionLast="36" xr6:coauthVersionMax="36" xr10:uidLastSave="{00000000-0000-0000-0000-000000000000}"/>
  <bookViews>
    <workbookView showSheetTabs="0" xWindow="-28920" yWindow="-120" windowWidth="29040" windowHeight="16440" xr2:uid="{00000000-000D-0000-FFFF-FFFF00000000}"/>
  </bookViews>
  <sheets>
    <sheet name="Home" sheetId="15" r:id="rId1"/>
    <sheet name="1" sheetId="2" r:id="rId2"/>
    <sheet name="Calc 1a" sheetId="10" state="veryHidden" r:id="rId3"/>
    <sheet name="Calc 1b" sheetId="11" state="veryHidden" r:id="rId4"/>
    <sheet name="Calc 2a" sheetId="12" state="veryHidden" r:id="rId5"/>
    <sheet name="Calc 2b" sheetId="13" state="veryHidden" r:id="rId6"/>
    <sheet name="Calc 3" sheetId="14" state="veryHidden" r:id="rId7"/>
  </sheets>
  <definedNames>
    <definedName name="_xlnm.Print_Area" localSheetId="1">'1'!$B$2:$E$166</definedName>
    <definedName name="_xlnm.Print_Area" localSheetId="0">Home!$C$3:$R$24</definedName>
    <definedName name="_xlnm.Print_Titles" localSheetId="1">'1'!$2:$3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44" i="10" l="1"/>
  <c r="J144" i="10"/>
  <c r="K144" i="10"/>
  <c r="L144" i="10"/>
  <c r="M144" i="10" s="1"/>
  <c r="N144" i="10" s="1"/>
  <c r="O144" i="10" s="1"/>
  <c r="A1" i="10"/>
  <c r="A143" i="10" s="1"/>
  <c r="K138" i="10"/>
  <c r="L138" i="10"/>
  <c r="M138" i="10"/>
  <c r="N138" i="10" s="1"/>
  <c r="O138" i="10" s="1"/>
  <c r="K127" i="10"/>
  <c r="L127" i="10" s="1"/>
  <c r="M127" i="10" s="1"/>
  <c r="N127" i="10" s="1"/>
  <c r="O127" i="10" s="1"/>
  <c r="J126" i="10"/>
  <c r="K126" i="10"/>
  <c r="L126" i="10"/>
  <c r="M126" i="10"/>
  <c r="N126" i="10" s="1"/>
  <c r="O126" i="10" s="1"/>
  <c r="K123" i="10"/>
  <c r="L123" i="10"/>
  <c r="M123" i="10" s="1"/>
  <c r="N123" i="10" s="1"/>
  <c r="O123" i="10" s="1"/>
  <c r="K122" i="10"/>
  <c r="L122" i="10" s="1"/>
  <c r="M122" i="10" s="1"/>
  <c r="N122" i="10" s="1"/>
  <c r="O122" i="10" s="1"/>
  <c r="K121" i="10"/>
  <c r="L121" i="10" s="1"/>
  <c r="M121" i="10" s="1"/>
  <c r="N121" i="10" s="1"/>
  <c r="O121" i="10" s="1"/>
  <c r="O98" i="10"/>
  <c r="N98" i="10"/>
  <c r="M98" i="10"/>
  <c r="L98" i="10"/>
  <c r="K98" i="10"/>
  <c r="I144" i="11"/>
  <c r="J144" i="11" s="1"/>
  <c r="K144" i="11" s="1"/>
  <c r="L144" i="11" s="1"/>
  <c r="M144" i="11" s="1"/>
  <c r="N144" i="11" s="1"/>
  <c r="O144" i="11" s="1"/>
  <c r="A1" i="11"/>
  <c r="A143" i="11" s="1"/>
  <c r="B57" i="11" s="1"/>
  <c r="K138" i="11"/>
  <c r="L138" i="11"/>
  <c r="M138" i="11" s="1"/>
  <c r="N138" i="11" s="1"/>
  <c r="O138" i="11" s="1"/>
  <c r="K127" i="11"/>
  <c r="L127" i="11" s="1"/>
  <c r="M127" i="11" s="1"/>
  <c r="N127" i="11" s="1"/>
  <c r="O127" i="11" s="1"/>
  <c r="J126" i="11"/>
  <c r="K126" i="11" s="1"/>
  <c r="L126" i="11" s="1"/>
  <c r="M126" i="11" s="1"/>
  <c r="N126" i="11" s="1"/>
  <c r="O126" i="11" s="1"/>
  <c r="K123" i="11"/>
  <c r="L123" i="11" s="1"/>
  <c r="M123" i="11" s="1"/>
  <c r="N123" i="11" s="1"/>
  <c r="O123" i="11" s="1"/>
  <c r="K122" i="11"/>
  <c r="L122" i="11" s="1"/>
  <c r="M122" i="11" s="1"/>
  <c r="N122" i="11" s="1"/>
  <c r="O122" i="11" s="1"/>
  <c r="K121" i="11"/>
  <c r="L121" i="11" s="1"/>
  <c r="M121" i="11" s="1"/>
  <c r="N121" i="11" s="1"/>
  <c r="O121" i="11" s="1"/>
  <c r="O98" i="11"/>
  <c r="N98" i="11"/>
  <c r="M98" i="11"/>
  <c r="L98" i="11"/>
  <c r="K98" i="11"/>
  <c r="M79" i="11"/>
  <c r="L79" i="11"/>
  <c r="J75" i="11"/>
  <c r="H75" i="11"/>
  <c r="F75" i="11"/>
  <c r="E75" i="11"/>
  <c r="B75" i="11"/>
  <c r="I144" i="12"/>
  <c r="J144" i="12"/>
  <c r="K144" i="12" s="1"/>
  <c r="L144" i="12" s="1"/>
  <c r="M144" i="12" s="1"/>
  <c r="N144" i="12" s="1"/>
  <c r="O144" i="12" s="1"/>
  <c r="A1" i="12"/>
  <c r="A143" i="12" s="1"/>
  <c r="K138" i="12"/>
  <c r="L138" i="12" s="1"/>
  <c r="M138" i="12" s="1"/>
  <c r="N138" i="12" s="1"/>
  <c r="O138" i="12" s="1"/>
  <c r="K127" i="12"/>
  <c r="L127" i="12"/>
  <c r="M127" i="12" s="1"/>
  <c r="N127" i="12" s="1"/>
  <c r="O127" i="12" s="1"/>
  <c r="J126" i="12"/>
  <c r="K126" i="12"/>
  <c r="L126" i="12" s="1"/>
  <c r="M126" i="12" s="1"/>
  <c r="N126" i="12"/>
  <c r="O126" i="12" s="1"/>
  <c r="K123" i="12"/>
  <c r="L123" i="12"/>
  <c r="M123" i="12"/>
  <c r="N123" i="12" s="1"/>
  <c r="O123" i="12" s="1"/>
  <c r="K122" i="12"/>
  <c r="L122" i="12" s="1"/>
  <c r="M122" i="12"/>
  <c r="N122" i="12" s="1"/>
  <c r="O122" i="12"/>
  <c r="K121" i="12"/>
  <c r="L121" i="12" s="1"/>
  <c r="M121" i="12" s="1"/>
  <c r="N121" i="12"/>
  <c r="O121" i="12"/>
  <c r="K117" i="12"/>
  <c r="J117" i="12"/>
  <c r="I117" i="12"/>
  <c r="H117" i="12"/>
  <c r="G117" i="12"/>
  <c r="F117" i="12"/>
  <c r="E117" i="12"/>
  <c r="D117" i="12"/>
  <c r="C117" i="12"/>
  <c r="B117" i="12"/>
  <c r="O98" i="12"/>
  <c r="N98" i="12"/>
  <c r="M98" i="12"/>
  <c r="L98" i="12"/>
  <c r="K98" i="12"/>
  <c r="K75" i="12"/>
  <c r="I144" i="13"/>
  <c r="J144" i="13" s="1"/>
  <c r="K144" i="13"/>
  <c r="L144" i="13" s="1"/>
  <c r="M144" i="13"/>
  <c r="N144" i="13" s="1"/>
  <c r="O144" i="13" s="1"/>
  <c r="A1" i="13"/>
  <c r="K138" i="13"/>
  <c r="L138" i="13"/>
  <c r="M138" i="13" s="1"/>
  <c r="N138" i="13" s="1"/>
  <c r="O138" i="13" s="1"/>
  <c r="J79" i="13"/>
  <c r="B79" i="13"/>
  <c r="F131" i="13"/>
  <c r="F130" i="13"/>
  <c r="K127" i="13"/>
  <c r="L127" i="13" s="1"/>
  <c r="M127" i="13" s="1"/>
  <c r="N127" i="13"/>
  <c r="O127" i="13" s="1"/>
  <c r="J126" i="13"/>
  <c r="K126" i="13" s="1"/>
  <c r="L126" i="13" s="1"/>
  <c r="M126" i="13"/>
  <c r="N126" i="13"/>
  <c r="O126" i="13" s="1"/>
  <c r="K123" i="13"/>
  <c r="L123" i="13" s="1"/>
  <c r="M123" i="13"/>
  <c r="N123" i="13" s="1"/>
  <c r="O123" i="13"/>
  <c r="K122" i="13"/>
  <c r="L122" i="13" s="1"/>
  <c r="M122" i="13" s="1"/>
  <c r="N122" i="13" s="1"/>
  <c r="O122" i="13" s="1"/>
  <c r="K121" i="13"/>
  <c r="L121" i="13" s="1"/>
  <c r="M121" i="13" s="1"/>
  <c r="N121" i="13"/>
  <c r="O121" i="13" s="1"/>
  <c r="D79" i="13"/>
  <c r="D118" i="13"/>
  <c r="K117" i="13"/>
  <c r="J117" i="13"/>
  <c r="I117" i="13"/>
  <c r="H117" i="13"/>
  <c r="G117" i="13"/>
  <c r="F117" i="13"/>
  <c r="E117" i="13"/>
  <c r="D117" i="13"/>
  <c r="C117" i="13"/>
  <c r="B117" i="13"/>
  <c r="D108" i="13"/>
  <c r="D107" i="13"/>
  <c r="D105" i="13"/>
  <c r="B105" i="13"/>
  <c r="D103" i="13"/>
  <c r="D102" i="13"/>
  <c r="O98" i="13"/>
  <c r="N98" i="13"/>
  <c r="M98" i="13"/>
  <c r="L98" i="13"/>
  <c r="K98" i="13"/>
  <c r="B92" i="13"/>
  <c r="B94" i="13" s="1"/>
  <c r="B81" i="13"/>
  <c r="O79" i="13"/>
  <c r="N79" i="13"/>
  <c r="K75" i="13"/>
  <c r="J75" i="13"/>
  <c r="I75" i="13"/>
  <c r="F75" i="13"/>
  <c r="E75" i="13"/>
  <c r="C75" i="13"/>
  <c r="I144" i="14"/>
  <c r="J144" i="14" s="1"/>
  <c r="K144" i="14"/>
  <c r="L144" i="14"/>
  <c r="M144" i="14" s="1"/>
  <c r="N144" i="14" s="1"/>
  <c r="O144" i="14" s="1"/>
  <c r="A1" i="14"/>
  <c r="A143" i="14"/>
  <c r="K138" i="14"/>
  <c r="L138" i="14"/>
  <c r="M138" i="14"/>
  <c r="N138" i="14"/>
  <c r="O138" i="14" s="1"/>
  <c r="I79" i="14"/>
  <c r="K127" i="14"/>
  <c r="L127" i="14"/>
  <c r="M127" i="14" s="1"/>
  <c r="N127" i="14" s="1"/>
  <c r="O127" i="14" s="1"/>
  <c r="J126" i="14"/>
  <c r="K126" i="14" s="1"/>
  <c r="L126" i="14"/>
  <c r="M126" i="14" s="1"/>
  <c r="N126" i="14" s="1"/>
  <c r="O126" i="14" s="1"/>
  <c r="K123" i="14"/>
  <c r="L123" i="14"/>
  <c r="M123" i="14" s="1"/>
  <c r="N123" i="14" s="1"/>
  <c r="O123" i="14" s="1"/>
  <c r="K122" i="14"/>
  <c r="L122" i="14"/>
  <c r="M122" i="14" s="1"/>
  <c r="N122" i="14" s="1"/>
  <c r="O122" i="14" s="1"/>
  <c r="K121" i="14"/>
  <c r="L121" i="14" s="1"/>
  <c r="M121" i="14"/>
  <c r="N121" i="14" s="1"/>
  <c r="O121" i="14" s="1"/>
  <c r="I118" i="14"/>
  <c r="K117" i="14"/>
  <c r="J117" i="14"/>
  <c r="I117" i="14"/>
  <c r="H117" i="14"/>
  <c r="G117" i="14"/>
  <c r="F117" i="14"/>
  <c r="E117" i="14"/>
  <c r="D117" i="14"/>
  <c r="C117" i="14"/>
  <c r="B117" i="14"/>
  <c r="O98" i="14"/>
  <c r="N98" i="14"/>
  <c r="M98" i="14"/>
  <c r="L98" i="14"/>
  <c r="K98" i="14"/>
  <c r="O79" i="14"/>
  <c r="K75" i="14"/>
  <c r="J75" i="14"/>
  <c r="G75" i="14"/>
  <c r="D75" i="14"/>
  <c r="B75" i="14"/>
  <c r="E79" i="2"/>
  <c r="A4" i="14"/>
  <c r="A4" i="13"/>
  <c r="K79" i="13" s="1"/>
  <c r="K93" i="13" s="1"/>
  <c r="A4" i="12"/>
  <c r="E79" i="12" s="1"/>
  <c r="A4" i="11"/>
  <c r="B37" i="11"/>
  <c r="A4" i="10"/>
  <c r="G1" i="10"/>
  <c r="F14" i="10"/>
  <c r="C37" i="14"/>
  <c r="E122" i="2"/>
  <c r="E123" i="2"/>
  <c r="E124" i="2"/>
  <c r="E125" i="2" s="1"/>
  <c r="C37" i="13"/>
  <c r="E78" i="2"/>
  <c r="D82" i="2" s="1"/>
  <c r="D84" i="2" s="1"/>
  <c r="C37" i="12"/>
  <c r="C82" i="2"/>
  <c r="C84" i="2" s="1"/>
  <c r="A2" i="12" s="1"/>
  <c r="B27" i="12" s="1"/>
  <c r="C83" i="2"/>
  <c r="E83" i="2" s="1"/>
  <c r="E31" i="2"/>
  <c r="E34" i="2" s="1"/>
  <c r="E32" i="2"/>
  <c r="E33" i="2"/>
  <c r="B35" i="10"/>
  <c r="B35" i="11"/>
  <c r="B35" i="12"/>
  <c r="B35" i="14"/>
  <c r="E47" i="2"/>
  <c r="A3" i="11"/>
  <c r="B27" i="11" s="1"/>
  <c r="B109" i="2"/>
  <c r="B108" i="2"/>
  <c r="B107" i="2"/>
  <c r="B106" i="2"/>
  <c r="B157" i="2"/>
  <c r="B156" i="2"/>
  <c r="B155" i="2"/>
  <c r="B154" i="2"/>
  <c r="B153" i="2"/>
  <c r="B63" i="2"/>
  <c r="B62" i="2"/>
  <c r="B61" i="2"/>
  <c r="B60" i="2"/>
  <c r="B59" i="2"/>
  <c r="B50" i="14"/>
  <c r="D50" i="14" s="1"/>
  <c r="B50" i="13"/>
  <c r="D50" i="13" s="1"/>
  <c r="D87" i="2" s="1"/>
  <c r="D114" i="2" s="1"/>
  <c r="B50" i="12"/>
  <c r="B50" i="10"/>
  <c r="C59" i="10"/>
  <c r="C67" i="12"/>
  <c r="B67" i="12" s="1"/>
  <c r="C67" i="10"/>
  <c r="B67" i="10" s="1"/>
  <c r="C67" i="13"/>
  <c r="F12" i="13"/>
  <c r="F11" i="13"/>
  <c r="H10" i="13"/>
  <c r="F10" i="13"/>
  <c r="H9" i="13"/>
  <c r="F9" i="13"/>
  <c r="F8" i="13"/>
  <c r="F7" i="13"/>
  <c r="F6" i="13"/>
  <c r="H5" i="13"/>
  <c r="F5" i="13"/>
  <c r="H4" i="13"/>
  <c r="F4" i="13"/>
  <c r="H3" i="13"/>
  <c r="F3" i="13"/>
  <c r="H9" i="10"/>
  <c r="H10" i="10"/>
  <c r="H5" i="10"/>
  <c r="H4" i="10"/>
  <c r="H3" i="10"/>
  <c r="F12" i="10"/>
  <c r="F4" i="10"/>
  <c r="F5" i="10"/>
  <c r="F6" i="10"/>
  <c r="F7" i="10"/>
  <c r="F8" i="10"/>
  <c r="F9" i="10"/>
  <c r="F10" i="10"/>
  <c r="F11" i="10"/>
  <c r="F3" i="10"/>
  <c r="B59" i="14"/>
  <c r="B56" i="14"/>
  <c r="B55" i="14"/>
  <c r="B54" i="14"/>
  <c r="D54" i="14" s="1"/>
  <c r="D52" i="14" s="1"/>
  <c r="B53" i="14"/>
  <c r="B52" i="14"/>
  <c r="D38" i="14"/>
  <c r="B34" i="14"/>
  <c r="C46" i="14"/>
  <c r="C92" i="2"/>
  <c r="E92" i="2"/>
  <c r="B66" i="13"/>
  <c r="B59" i="13"/>
  <c r="B56" i="13"/>
  <c r="B55" i="13"/>
  <c r="D55" i="13" s="1"/>
  <c r="B54" i="13"/>
  <c r="D54" i="13" s="1"/>
  <c r="B53" i="13"/>
  <c r="B52" i="13"/>
  <c r="D38" i="13"/>
  <c r="B34" i="13"/>
  <c r="D16" i="13"/>
  <c r="B66" i="12"/>
  <c r="B59" i="12"/>
  <c r="B56" i="12"/>
  <c r="B55" i="12"/>
  <c r="B54" i="12"/>
  <c r="B53" i="12"/>
  <c r="B52" i="12"/>
  <c r="D55" i="12" s="1"/>
  <c r="D38" i="12"/>
  <c r="B34" i="12"/>
  <c r="D16" i="12"/>
  <c r="C40" i="12"/>
  <c r="B59" i="11"/>
  <c r="B56" i="11"/>
  <c r="B55" i="11"/>
  <c r="B54" i="11"/>
  <c r="B53" i="11"/>
  <c r="B52" i="11"/>
  <c r="D57" i="11" s="1"/>
  <c r="D38" i="11"/>
  <c r="B34" i="11"/>
  <c r="C35" i="11" s="1"/>
  <c r="D35" i="11" s="1"/>
  <c r="D16" i="11"/>
  <c r="B10" i="11"/>
  <c r="B66" i="10"/>
  <c r="B59" i="10"/>
  <c r="D63" i="10" s="1"/>
  <c r="B52" i="10"/>
  <c r="B34" i="10"/>
  <c r="B56" i="10"/>
  <c r="B55" i="10"/>
  <c r="B54" i="10"/>
  <c r="B53" i="10"/>
  <c r="D38" i="10"/>
  <c r="D16" i="10"/>
  <c r="C10" i="2"/>
  <c r="D10" i="2" s="1"/>
  <c r="E10" i="2" s="1"/>
  <c r="E43" i="2"/>
  <c r="E130" i="2" s="1"/>
  <c r="E143" i="2"/>
  <c r="E128" i="2"/>
  <c r="B50" i="11"/>
  <c r="D55" i="14"/>
  <c r="D54" i="11"/>
  <c r="D61" i="11"/>
  <c r="C32" i="11"/>
  <c r="B23" i="14"/>
  <c r="B46" i="11"/>
  <c r="B24" i="14"/>
  <c r="C10" i="14"/>
  <c r="D136" i="2" s="1"/>
  <c r="B19" i="11"/>
  <c r="C10" i="11"/>
  <c r="C54" i="11"/>
  <c r="B42" i="11"/>
  <c r="B29" i="11"/>
  <c r="C19" i="11"/>
  <c r="B30" i="11"/>
  <c r="C57" i="11"/>
  <c r="B8" i="11"/>
  <c r="C47" i="11"/>
  <c r="B23" i="11"/>
  <c r="C56" i="11"/>
  <c r="C53" i="11"/>
  <c r="C11" i="11"/>
  <c r="C49" i="11"/>
  <c r="C40" i="11"/>
  <c r="C20" i="11"/>
  <c r="C15" i="11"/>
  <c r="D15" i="11"/>
  <c r="D14" i="11" s="1"/>
  <c r="B49" i="14"/>
  <c r="B30" i="14"/>
  <c r="C155" i="2"/>
  <c r="B24" i="11"/>
  <c r="B49" i="11"/>
  <c r="C46" i="11"/>
  <c r="B28" i="11"/>
  <c r="B47" i="11"/>
  <c r="C55" i="11"/>
  <c r="B57" i="14"/>
  <c r="D57" i="14"/>
  <c r="D56" i="14"/>
  <c r="B43" i="14"/>
  <c r="C57" i="14"/>
  <c r="C20" i="14"/>
  <c r="B46" i="14"/>
  <c r="B19" i="14"/>
  <c r="B42" i="14"/>
  <c r="C47" i="14"/>
  <c r="C15" i="14"/>
  <c r="C11" i="14"/>
  <c r="D137" i="2" s="1"/>
  <c r="B28" i="14"/>
  <c r="C153" i="2" s="1"/>
  <c r="D63" i="11"/>
  <c r="C19" i="14"/>
  <c r="C56" i="14"/>
  <c r="B47" i="14"/>
  <c r="C32" i="14"/>
  <c r="D157" i="2" s="1"/>
  <c r="B10" i="14"/>
  <c r="D53" i="14"/>
  <c r="B57" i="10"/>
  <c r="D57" i="10"/>
  <c r="B28" i="10"/>
  <c r="B47" i="10"/>
  <c r="C47" i="10"/>
  <c r="C32" i="10"/>
  <c r="D63" i="2" s="1"/>
  <c r="B10" i="10"/>
  <c r="C20" i="10"/>
  <c r="B8" i="10"/>
  <c r="C46" i="10"/>
  <c r="B23" i="10"/>
  <c r="C57" i="13"/>
  <c r="C54" i="10"/>
  <c r="B49" i="10"/>
  <c r="C40" i="10"/>
  <c r="D63" i="14"/>
  <c r="C55" i="10"/>
  <c r="C57" i="10"/>
  <c r="B47" i="12"/>
  <c r="C20" i="12"/>
  <c r="C46" i="12"/>
  <c r="B10" i="12"/>
  <c r="B19" i="13"/>
  <c r="D61" i="14"/>
  <c r="H1" i="10"/>
  <c r="E18" i="2" s="1"/>
  <c r="D56" i="13"/>
  <c r="B47" i="13"/>
  <c r="C15" i="13"/>
  <c r="D15" i="13" s="1"/>
  <c r="D14" i="13" s="1"/>
  <c r="B19" i="12"/>
  <c r="C53" i="12"/>
  <c r="D53" i="13"/>
  <c r="C47" i="13"/>
  <c r="B46" i="13"/>
  <c r="B42" i="10"/>
  <c r="C11" i="10"/>
  <c r="D54" i="2" s="1"/>
  <c r="C53" i="10"/>
  <c r="C10" i="10"/>
  <c r="D53" i="2" s="1"/>
  <c r="C56" i="10"/>
  <c r="C19" i="10"/>
  <c r="B19" i="10"/>
  <c r="C15" i="10"/>
  <c r="D15" i="10"/>
  <c r="D14" i="10" s="1"/>
  <c r="C49" i="10"/>
  <c r="B30" i="13"/>
  <c r="B29" i="10"/>
  <c r="C60" i="2" s="1"/>
  <c r="B24" i="10"/>
  <c r="B30" i="10"/>
  <c r="B46" i="10"/>
  <c r="D56" i="11"/>
  <c r="C11" i="12"/>
  <c r="B101" i="2" s="1"/>
  <c r="C49" i="12"/>
  <c r="C15" i="12"/>
  <c r="D15" i="12" s="1"/>
  <c r="D14" i="12" s="1"/>
  <c r="C10" i="12"/>
  <c r="B100" i="2" s="1"/>
  <c r="C57" i="12"/>
  <c r="C20" i="13"/>
  <c r="C32" i="13"/>
  <c r="C11" i="13"/>
  <c r="B29" i="13"/>
  <c r="B10" i="13"/>
  <c r="B42" i="13"/>
  <c r="D55" i="11"/>
  <c r="B46" i="12"/>
  <c r="B28" i="13"/>
  <c r="B28" i="12"/>
  <c r="B24" i="12"/>
  <c r="C19" i="12"/>
  <c r="B42" i="12"/>
  <c r="B23" i="12"/>
  <c r="B49" i="12"/>
  <c r="B8" i="12"/>
  <c r="B57" i="12"/>
  <c r="B29" i="12"/>
  <c r="C55" i="13"/>
  <c r="D53" i="11"/>
  <c r="C56" i="13"/>
  <c r="C40" i="13"/>
  <c r="B23" i="13"/>
  <c r="B8" i="13"/>
  <c r="C56" i="12"/>
  <c r="C54" i="12"/>
  <c r="C47" i="12"/>
  <c r="B30" i="12"/>
  <c r="C32" i="12"/>
  <c r="C55" i="12"/>
  <c r="C54" i="13"/>
  <c r="B24" i="13"/>
  <c r="C46" i="13"/>
  <c r="C53" i="13"/>
  <c r="C19" i="13"/>
  <c r="C10" i="13"/>
  <c r="B49" i="13"/>
  <c r="D53" i="10"/>
  <c r="D55" i="10"/>
  <c r="D54" i="10"/>
  <c r="D56" i="10"/>
  <c r="D52" i="10" s="1"/>
  <c r="E42" i="2" s="1"/>
  <c r="B9" i="14"/>
  <c r="D61" i="13"/>
  <c r="D63" i="13"/>
  <c r="D31" i="11"/>
  <c r="D62" i="13"/>
  <c r="G1" i="13"/>
  <c r="H1" i="13" s="1"/>
  <c r="B68" i="13" s="1"/>
  <c r="D47" i="11"/>
  <c r="D46" i="11"/>
  <c r="D59" i="10"/>
  <c r="E39" i="2"/>
  <c r="D60" i="12"/>
  <c r="D60" i="13"/>
  <c r="B43" i="12"/>
  <c r="D62" i="12"/>
  <c r="B9" i="11"/>
  <c r="C61" i="2"/>
  <c r="C59" i="2"/>
  <c r="B9" i="13"/>
  <c r="D60" i="11"/>
  <c r="D60" i="14"/>
  <c r="D50" i="12"/>
  <c r="C87" i="2"/>
  <c r="E87" i="2" s="1"/>
  <c r="D59" i="13"/>
  <c r="B43" i="13"/>
  <c r="D62" i="14"/>
  <c r="D59" i="14"/>
  <c r="D62" i="11"/>
  <c r="D59" i="11"/>
  <c r="E166" i="2"/>
  <c r="E23" i="2" s="1"/>
  <c r="E74" i="2"/>
  <c r="E21" i="2" s="1"/>
  <c r="A2" i="11" l="1"/>
  <c r="A2" i="10"/>
  <c r="A2" i="13"/>
  <c r="D52" i="11"/>
  <c r="B68" i="10"/>
  <c r="B68" i="12"/>
  <c r="D31" i="12"/>
  <c r="C109" i="2" s="1"/>
  <c r="A2" i="14"/>
  <c r="A19" i="12"/>
  <c r="D19" i="12" s="1"/>
  <c r="A19" i="13"/>
  <c r="D19" i="13" s="1"/>
  <c r="C141" i="2"/>
  <c r="E141" i="2" s="1"/>
  <c r="A19" i="11"/>
  <c r="D19" i="11" s="1"/>
  <c r="C140" i="2"/>
  <c r="E140" i="2" s="1"/>
  <c r="A19" i="14"/>
  <c r="D19" i="14" s="1"/>
  <c r="E139" i="2" s="1"/>
  <c r="A19" i="10"/>
  <c r="D19" i="10" s="1"/>
  <c r="E129" i="2"/>
  <c r="E44" i="2"/>
  <c r="E118" i="12"/>
  <c r="E107" i="12"/>
  <c r="E102" i="12"/>
  <c r="E116" i="12"/>
  <c r="E94" i="12"/>
  <c r="E80" i="12"/>
  <c r="E103" i="12"/>
  <c r="E93" i="12"/>
  <c r="E105" i="12"/>
  <c r="E92" i="12"/>
  <c r="E81" i="12"/>
  <c r="E108" i="12"/>
  <c r="D65" i="12"/>
  <c r="C114" i="2"/>
  <c r="E114" i="2" s="1"/>
  <c r="D60" i="10"/>
  <c r="D11" i="11"/>
  <c r="D54" i="12"/>
  <c r="D63" i="12"/>
  <c r="D61" i="12"/>
  <c r="D59" i="12" s="1"/>
  <c r="D117" i="11"/>
  <c r="B117" i="11"/>
  <c r="E117" i="11"/>
  <c r="G79" i="14"/>
  <c r="E79" i="14"/>
  <c r="C79" i="14"/>
  <c r="M79" i="14"/>
  <c r="I75" i="14"/>
  <c r="E75" i="14"/>
  <c r="K79" i="14"/>
  <c r="N79" i="14"/>
  <c r="H75" i="14"/>
  <c r="C75" i="14"/>
  <c r="H79" i="14"/>
  <c r="D79" i="14"/>
  <c r="F75" i="14"/>
  <c r="L79" i="14"/>
  <c r="J79" i="14"/>
  <c r="J79" i="12"/>
  <c r="D10" i="11"/>
  <c r="K80" i="13"/>
  <c r="D49" i="12"/>
  <c r="D62" i="10"/>
  <c r="D61" i="10"/>
  <c r="D57" i="12"/>
  <c r="D53" i="12"/>
  <c r="D52" i="12" s="1"/>
  <c r="C91" i="2" s="1"/>
  <c r="D56" i="12"/>
  <c r="E82" i="2"/>
  <c r="D37" i="12"/>
  <c r="C86" i="2" s="1"/>
  <c r="K118" i="13"/>
  <c r="K116" i="13"/>
  <c r="K105" i="13"/>
  <c r="K103" i="13"/>
  <c r="K104" i="13"/>
  <c r="K107" i="13"/>
  <c r="K102" i="13"/>
  <c r="K92" i="13"/>
  <c r="K131" i="13"/>
  <c r="I130" i="14"/>
  <c r="J130" i="14" s="1"/>
  <c r="K130" i="14" s="1"/>
  <c r="L130" i="14" s="1"/>
  <c r="M130" i="14" s="1"/>
  <c r="N130" i="14" s="1"/>
  <c r="O130" i="14" s="1"/>
  <c r="P130" i="14" s="1"/>
  <c r="Q130" i="14" s="1"/>
  <c r="I93" i="14"/>
  <c r="I92" i="14"/>
  <c r="I81" i="14"/>
  <c r="I131" i="14"/>
  <c r="I103" i="14"/>
  <c r="I116" i="14"/>
  <c r="J131" i="13"/>
  <c r="J80" i="13"/>
  <c r="C8" i="13" s="1"/>
  <c r="J93" i="13"/>
  <c r="C24" i="13" s="1"/>
  <c r="J81" i="13"/>
  <c r="C9" i="13" s="1"/>
  <c r="J118" i="13"/>
  <c r="B44" i="13" s="1"/>
  <c r="J105" i="13"/>
  <c r="C31" i="13" s="1"/>
  <c r="J104" i="13"/>
  <c r="C30" i="13" s="1"/>
  <c r="J107" i="13"/>
  <c r="J103" i="13"/>
  <c r="C29" i="13" s="1"/>
  <c r="J102" i="13"/>
  <c r="C28" i="13" s="1"/>
  <c r="J92" i="13"/>
  <c r="B22" i="13" s="1"/>
  <c r="E127" i="2"/>
  <c r="D65" i="10"/>
  <c r="K79" i="12"/>
  <c r="I79" i="12"/>
  <c r="B79" i="12"/>
  <c r="L79" i="12"/>
  <c r="H75" i="12"/>
  <c r="D75" i="12"/>
  <c r="C79" i="12"/>
  <c r="N79" i="12"/>
  <c r="I75" i="12"/>
  <c r="C75" i="12"/>
  <c r="D79" i="12"/>
  <c r="J75" i="12"/>
  <c r="B9" i="12" s="1"/>
  <c r="B75" i="12"/>
  <c r="H79" i="12"/>
  <c r="G79" i="12"/>
  <c r="O79" i="12"/>
  <c r="G75" i="12"/>
  <c r="F79" i="12"/>
  <c r="M79" i="12"/>
  <c r="F75" i="12"/>
  <c r="I80" i="14"/>
  <c r="I102" i="14"/>
  <c r="I105" i="14"/>
  <c r="I107" i="14"/>
  <c r="F79" i="14"/>
  <c r="B79" i="14"/>
  <c r="B29" i="14"/>
  <c r="C154" i="2" s="1"/>
  <c r="B8" i="14"/>
  <c r="C49" i="14"/>
  <c r="C53" i="14"/>
  <c r="C55" i="14"/>
  <c r="C54" i="14"/>
  <c r="C40" i="14"/>
  <c r="K81" i="13"/>
  <c r="J116" i="13"/>
  <c r="C42" i="13" s="1"/>
  <c r="E75" i="12"/>
  <c r="D94" i="13"/>
  <c r="D93" i="13"/>
  <c r="D92" i="13"/>
  <c r="D81" i="13"/>
  <c r="E131" i="13"/>
  <c r="G130" i="13"/>
  <c r="C130" i="13"/>
  <c r="G131" i="13"/>
  <c r="B131" i="13"/>
  <c r="E130" i="13"/>
  <c r="B80" i="13"/>
  <c r="B116" i="13"/>
  <c r="B130" i="13"/>
  <c r="C131" i="13"/>
  <c r="H79" i="13"/>
  <c r="A143" i="13"/>
  <c r="B57" i="13" s="1"/>
  <c r="D57" i="13" s="1"/>
  <c r="D52" i="13" s="1"/>
  <c r="B35" i="13"/>
  <c r="C49" i="13"/>
  <c r="J79" i="10"/>
  <c r="H79" i="10"/>
  <c r="N79" i="10"/>
  <c r="J75" i="10"/>
  <c r="B9" i="10" s="1"/>
  <c r="F75" i="10"/>
  <c r="B75" i="10"/>
  <c r="G79" i="10"/>
  <c r="E79" i="10"/>
  <c r="C79" i="10"/>
  <c r="M79" i="10"/>
  <c r="I75" i="10"/>
  <c r="E75" i="10"/>
  <c r="K79" i="10"/>
  <c r="I79" i="10"/>
  <c r="B79" i="10"/>
  <c r="L79" i="10"/>
  <c r="H75" i="10"/>
  <c r="D75" i="10"/>
  <c r="F79" i="10"/>
  <c r="D79" i="10"/>
  <c r="O79" i="10"/>
  <c r="K75" i="10"/>
  <c r="G75" i="10"/>
  <c r="C75" i="10"/>
  <c r="G79" i="13"/>
  <c r="E79" i="13"/>
  <c r="C79" i="13"/>
  <c r="I79" i="13"/>
  <c r="L79" i="13"/>
  <c r="H75" i="13"/>
  <c r="D75" i="13"/>
  <c r="B75" i="13"/>
  <c r="G75" i="13"/>
  <c r="M79" i="13"/>
  <c r="D80" i="13"/>
  <c r="B102" i="13"/>
  <c r="B103" i="13"/>
  <c r="B107" i="13"/>
  <c r="B108" i="13"/>
  <c r="D116" i="13"/>
  <c r="B118" i="13"/>
  <c r="F79" i="13"/>
  <c r="D130" i="13"/>
  <c r="D131" i="13"/>
  <c r="D67" i="13"/>
  <c r="B67" i="13" s="1"/>
  <c r="D65" i="13" s="1"/>
  <c r="D115" i="2" s="1"/>
  <c r="F79" i="11"/>
  <c r="D79" i="11"/>
  <c r="J79" i="11"/>
  <c r="H79" i="11"/>
  <c r="G79" i="11"/>
  <c r="E79" i="11"/>
  <c r="C79" i="11"/>
  <c r="K79" i="11"/>
  <c r="I79" i="11"/>
  <c r="B79" i="11"/>
  <c r="O79" i="11"/>
  <c r="K75" i="11"/>
  <c r="G75" i="11"/>
  <c r="C75" i="11"/>
  <c r="D75" i="11"/>
  <c r="I75" i="11"/>
  <c r="N79" i="11"/>
  <c r="I131" i="11" l="1"/>
  <c r="I118" i="11"/>
  <c r="I116" i="11"/>
  <c r="I105" i="11"/>
  <c r="I103" i="11"/>
  <c r="I130" i="11"/>
  <c r="J130" i="11" s="1"/>
  <c r="I107" i="11"/>
  <c r="I80" i="11"/>
  <c r="I92" i="11"/>
  <c r="I102" i="11"/>
  <c r="I81" i="11"/>
  <c r="I93" i="11"/>
  <c r="G107" i="11"/>
  <c r="G102" i="11"/>
  <c r="G118" i="11"/>
  <c r="G116" i="11"/>
  <c r="G105" i="11"/>
  <c r="G103" i="11"/>
  <c r="G93" i="11"/>
  <c r="G92" i="11"/>
  <c r="G81" i="11"/>
  <c r="G80" i="11"/>
  <c r="F116" i="11"/>
  <c r="F105" i="11"/>
  <c r="F103" i="11"/>
  <c r="F118" i="11"/>
  <c r="F107" i="11"/>
  <c r="F102" i="11"/>
  <c r="F93" i="11"/>
  <c r="F81" i="11"/>
  <c r="F80" i="11"/>
  <c r="F92" i="11"/>
  <c r="F118" i="13"/>
  <c r="F80" i="13"/>
  <c r="F105" i="13"/>
  <c r="F107" i="13"/>
  <c r="F103" i="13"/>
  <c r="F102" i="13"/>
  <c r="F92" i="13"/>
  <c r="F116" i="13"/>
  <c r="F81" i="13"/>
  <c r="F93" i="13"/>
  <c r="E107" i="13"/>
  <c r="E102" i="13"/>
  <c r="E93" i="13"/>
  <c r="E81" i="13"/>
  <c r="E118" i="13"/>
  <c r="E105" i="13"/>
  <c r="E108" i="13"/>
  <c r="E103" i="13"/>
  <c r="E92" i="13"/>
  <c r="E80" i="13"/>
  <c r="E116" i="13"/>
  <c r="E94" i="13"/>
  <c r="I116" i="10"/>
  <c r="I105" i="10"/>
  <c r="I103" i="10"/>
  <c r="I130" i="10"/>
  <c r="J130" i="10" s="1"/>
  <c r="I93" i="10"/>
  <c r="I92" i="10"/>
  <c r="I81" i="10"/>
  <c r="I117" i="10"/>
  <c r="I107" i="10"/>
  <c r="I102" i="10"/>
  <c r="I131" i="10"/>
  <c r="I118" i="10"/>
  <c r="I80" i="10"/>
  <c r="H130" i="10"/>
  <c r="H118" i="10"/>
  <c r="H80" i="10"/>
  <c r="H131" i="10"/>
  <c r="H116" i="10"/>
  <c r="H105" i="10"/>
  <c r="H103" i="10"/>
  <c r="H93" i="10"/>
  <c r="H92" i="10"/>
  <c r="H81" i="10"/>
  <c r="H117" i="10"/>
  <c r="H107" i="10"/>
  <c r="H102" i="10"/>
  <c r="F107" i="14"/>
  <c r="F102" i="14"/>
  <c r="F93" i="14"/>
  <c r="F81" i="14"/>
  <c r="F105" i="14"/>
  <c r="F116" i="14"/>
  <c r="F92" i="14"/>
  <c r="F118" i="14"/>
  <c r="F103" i="14"/>
  <c r="F80" i="14"/>
  <c r="K116" i="12"/>
  <c r="K105" i="12"/>
  <c r="K103" i="12"/>
  <c r="K93" i="12"/>
  <c r="K81" i="12"/>
  <c r="K80" i="12"/>
  <c r="K107" i="12"/>
  <c r="K92" i="12"/>
  <c r="K131" i="12"/>
  <c r="K102" i="12"/>
  <c r="K118" i="12"/>
  <c r="K104" i="12"/>
  <c r="J100" i="13"/>
  <c r="B31" i="13" s="1"/>
  <c r="B32" i="13"/>
  <c r="C93" i="2"/>
  <c r="E93" i="2" s="1"/>
  <c r="E91" i="2"/>
  <c r="E94" i="14"/>
  <c r="E93" i="14"/>
  <c r="E92" i="14"/>
  <c r="E81" i="14"/>
  <c r="E118" i="14"/>
  <c r="E116" i="14"/>
  <c r="E80" i="14"/>
  <c r="E107" i="14"/>
  <c r="E105" i="14"/>
  <c r="E102" i="14"/>
  <c r="E108" i="14"/>
  <c r="E103" i="14"/>
  <c r="G117" i="11"/>
  <c r="B40" i="14"/>
  <c r="D49" i="14"/>
  <c r="D37" i="14"/>
  <c r="B14" i="14"/>
  <c r="K131" i="11"/>
  <c r="K107" i="11"/>
  <c r="K100" i="11" s="1"/>
  <c r="K104" i="11"/>
  <c r="K102" i="11"/>
  <c r="K118" i="11"/>
  <c r="K116" i="11"/>
  <c r="K105" i="11"/>
  <c r="K93" i="11"/>
  <c r="K92" i="11"/>
  <c r="K81" i="11"/>
  <c r="K80" i="11"/>
  <c r="K103" i="11"/>
  <c r="H107" i="11"/>
  <c r="H102" i="11"/>
  <c r="H130" i="11"/>
  <c r="H118" i="11"/>
  <c r="H131" i="11"/>
  <c r="H116" i="11"/>
  <c r="H105" i="11"/>
  <c r="H103" i="11"/>
  <c r="H93" i="11"/>
  <c r="H92" i="11"/>
  <c r="H81" i="11"/>
  <c r="H80" i="11"/>
  <c r="G116" i="13"/>
  <c r="G105" i="13"/>
  <c r="G103" i="13"/>
  <c r="G107" i="13"/>
  <c r="G102" i="13"/>
  <c r="G92" i="13"/>
  <c r="G93" i="13"/>
  <c r="G81" i="13"/>
  <c r="G80" i="13"/>
  <c r="G118" i="13"/>
  <c r="K117" i="10"/>
  <c r="K107" i="10"/>
  <c r="K104" i="10"/>
  <c r="K102" i="10"/>
  <c r="K118" i="10"/>
  <c r="K80" i="10"/>
  <c r="K116" i="10"/>
  <c r="K105" i="10"/>
  <c r="K103" i="10"/>
  <c r="K131" i="10"/>
  <c r="K93" i="10"/>
  <c r="K92" i="10"/>
  <c r="K81" i="10"/>
  <c r="C117" i="10"/>
  <c r="C107" i="10"/>
  <c r="C102" i="10"/>
  <c r="C80" i="10"/>
  <c r="C118" i="10"/>
  <c r="C116" i="10"/>
  <c r="C108" i="10"/>
  <c r="C105" i="10"/>
  <c r="C103" i="10"/>
  <c r="C92" i="10"/>
  <c r="C94" i="10" s="1"/>
  <c r="C81" i="10"/>
  <c r="J93" i="10"/>
  <c r="C24" i="10" s="1"/>
  <c r="J92" i="10"/>
  <c r="B22" i="10" s="1"/>
  <c r="J81" i="10"/>
  <c r="C9" i="10" s="1"/>
  <c r="D52" i="2" s="1"/>
  <c r="J131" i="10"/>
  <c r="J117" i="10"/>
  <c r="B43" i="10" s="1"/>
  <c r="J107" i="10"/>
  <c r="J104" i="10"/>
  <c r="C30" i="10" s="1"/>
  <c r="D61" i="2" s="1"/>
  <c r="J102" i="10"/>
  <c r="C28" i="10" s="1"/>
  <c r="D59" i="2" s="1"/>
  <c r="J118" i="10"/>
  <c r="B44" i="10" s="1"/>
  <c r="J80" i="10"/>
  <c r="C8" i="10" s="1"/>
  <c r="D51" i="2" s="1"/>
  <c r="J116" i="10"/>
  <c r="C42" i="10" s="1"/>
  <c r="J105" i="10"/>
  <c r="C31" i="10" s="1"/>
  <c r="D62" i="2" s="1"/>
  <c r="J103" i="10"/>
  <c r="C29" i="10" s="1"/>
  <c r="D60" i="2" s="1"/>
  <c r="H131" i="13"/>
  <c r="H93" i="13"/>
  <c r="H92" i="13"/>
  <c r="H81" i="13"/>
  <c r="H103" i="13"/>
  <c r="H116" i="13"/>
  <c r="H80" i="13"/>
  <c r="H130" i="13"/>
  <c r="H118" i="13"/>
  <c r="H107" i="13"/>
  <c r="H105" i="13"/>
  <c r="H102" i="13"/>
  <c r="G80" i="14"/>
  <c r="G105" i="14"/>
  <c r="G118" i="14"/>
  <c r="G107" i="14"/>
  <c r="G103" i="14"/>
  <c r="G102" i="14"/>
  <c r="G93" i="14"/>
  <c r="G81" i="14"/>
  <c r="G116" i="14"/>
  <c r="G92" i="14"/>
  <c r="F117" i="11"/>
  <c r="K117" i="11"/>
  <c r="C115" i="2"/>
  <c r="E115" i="2" s="1"/>
  <c r="B27" i="10"/>
  <c r="D49" i="10"/>
  <c r="D50" i="10" s="1"/>
  <c r="E37" i="2" s="1"/>
  <c r="E67" i="2" s="1"/>
  <c r="E68" i="2" s="1"/>
  <c r="C107" i="11"/>
  <c r="C102" i="11"/>
  <c r="C118" i="11"/>
  <c r="C116" i="11"/>
  <c r="C108" i="11"/>
  <c r="C105" i="11"/>
  <c r="C92" i="11"/>
  <c r="C94" i="11" s="1"/>
  <c r="C81" i="11"/>
  <c r="C103" i="11"/>
  <c r="C80" i="11"/>
  <c r="J116" i="11"/>
  <c r="C42" i="11" s="1"/>
  <c r="J105" i="11"/>
  <c r="C31" i="11" s="1"/>
  <c r="J103" i="11"/>
  <c r="C29" i="11" s="1"/>
  <c r="D29" i="11" s="1"/>
  <c r="J131" i="11"/>
  <c r="J107" i="11"/>
  <c r="J104" i="11"/>
  <c r="C30" i="11" s="1"/>
  <c r="D30" i="11" s="1"/>
  <c r="J102" i="11"/>
  <c r="C28" i="11" s="1"/>
  <c r="D28" i="11" s="1"/>
  <c r="D32" i="11" s="1"/>
  <c r="J118" i="11"/>
  <c r="B44" i="11" s="1"/>
  <c r="J80" i="11"/>
  <c r="C8" i="11" s="1"/>
  <c r="D8" i="11" s="1"/>
  <c r="D12" i="11" s="1"/>
  <c r="D24" i="11" s="1"/>
  <c r="D1" i="11" s="1"/>
  <c r="J93" i="11"/>
  <c r="C24" i="11" s="1"/>
  <c r="J81" i="11"/>
  <c r="C9" i="11" s="1"/>
  <c r="D9" i="11" s="1"/>
  <c r="J92" i="11"/>
  <c r="B22" i="11" s="1"/>
  <c r="I130" i="13"/>
  <c r="J130" i="13" s="1"/>
  <c r="K130" i="13" s="1"/>
  <c r="L130" i="13" s="1"/>
  <c r="M130" i="13" s="1"/>
  <c r="N130" i="13" s="1"/>
  <c r="O130" i="13" s="1"/>
  <c r="P130" i="13" s="1"/>
  <c r="Q130" i="13" s="1"/>
  <c r="I118" i="13"/>
  <c r="I107" i="13"/>
  <c r="I102" i="13"/>
  <c r="I131" i="13"/>
  <c r="I116" i="13"/>
  <c r="I80" i="13"/>
  <c r="I93" i="13"/>
  <c r="I81" i="13"/>
  <c r="I105" i="13"/>
  <c r="I103" i="13"/>
  <c r="I92" i="13"/>
  <c r="D118" i="10"/>
  <c r="D80" i="10"/>
  <c r="D116" i="10"/>
  <c r="D108" i="10"/>
  <c r="D105" i="10"/>
  <c r="D103" i="10"/>
  <c r="D94" i="10"/>
  <c r="D93" i="10"/>
  <c r="D92" i="10"/>
  <c r="D81" i="10"/>
  <c r="D117" i="10"/>
  <c r="D107" i="10"/>
  <c r="D102" i="10"/>
  <c r="E116" i="10"/>
  <c r="E108" i="10"/>
  <c r="E105" i="10"/>
  <c r="E103" i="10"/>
  <c r="E94" i="10"/>
  <c r="E93" i="10"/>
  <c r="E92" i="10"/>
  <c r="E81" i="10"/>
  <c r="E118" i="10"/>
  <c r="E117" i="10"/>
  <c r="E107" i="10"/>
  <c r="E102" i="10"/>
  <c r="E80" i="10"/>
  <c r="G118" i="12"/>
  <c r="G116" i="12"/>
  <c r="G105" i="12"/>
  <c r="G103" i="12"/>
  <c r="G102" i="12"/>
  <c r="G81" i="12"/>
  <c r="G107" i="12"/>
  <c r="G80" i="12"/>
  <c r="G92" i="12"/>
  <c r="G93" i="12"/>
  <c r="D94" i="12"/>
  <c r="D93" i="12"/>
  <c r="D92" i="12"/>
  <c r="D81" i="12"/>
  <c r="D108" i="12"/>
  <c r="D103" i="12"/>
  <c r="D116" i="12"/>
  <c r="D107" i="12"/>
  <c r="D118" i="12"/>
  <c r="D105" i="12"/>
  <c r="D102" i="12"/>
  <c r="D80" i="12"/>
  <c r="C118" i="12"/>
  <c r="C116" i="12"/>
  <c r="C108" i="12"/>
  <c r="C105" i="12"/>
  <c r="C103" i="12"/>
  <c r="C107" i="12"/>
  <c r="C102" i="12"/>
  <c r="C80" i="12"/>
  <c r="C92" i="12"/>
  <c r="C94" i="12" s="1"/>
  <c r="C81" i="12"/>
  <c r="D131" i="12"/>
  <c r="F130" i="12"/>
  <c r="B130" i="12"/>
  <c r="B80" i="12"/>
  <c r="F131" i="12"/>
  <c r="D130" i="12"/>
  <c r="B105" i="12"/>
  <c r="E131" i="12"/>
  <c r="E130" i="12"/>
  <c r="B92" i="12"/>
  <c r="B94" i="12" s="1"/>
  <c r="C131" i="12"/>
  <c r="C130" i="12"/>
  <c r="B116" i="12"/>
  <c r="B107" i="12"/>
  <c r="B103" i="12"/>
  <c r="B131" i="12"/>
  <c r="B118" i="12"/>
  <c r="G130" i="12"/>
  <c r="B108" i="12"/>
  <c r="B81" i="12"/>
  <c r="G131" i="12"/>
  <c r="B102" i="12"/>
  <c r="B27" i="14"/>
  <c r="E131" i="2"/>
  <c r="K100" i="13"/>
  <c r="E119" i="2"/>
  <c r="E22" i="2" s="1"/>
  <c r="E84" i="2"/>
  <c r="J118" i="12"/>
  <c r="B44" i="12" s="1"/>
  <c r="J80" i="12"/>
  <c r="C8" i="12" s="1"/>
  <c r="B98" i="2" s="1"/>
  <c r="J116" i="12"/>
  <c r="C42" i="12" s="1"/>
  <c r="J131" i="12"/>
  <c r="J104" i="12"/>
  <c r="C30" i="12" s="1"/>
  <c r="D30" i="12" s="1"/>
  <c r="C108" i="2" s="1"/>
  <c r="J107" i="12"/>
  <c r="J103" i="12"/>
  <c r="C29" i="12" s="1"/>
  <c r="D29" i="12" s="1"/>
  <c r="C107" i="2" s="1"/>
  <c r="J93" i="12"/>
  <c r="C24" i="12" s="1"/>
  <c r="J105" i="12"/>
  <c r="C31" i="12" s="1"/>
  <c r="J92" i="12"/>
  <c r="B22" i="12" s="1"/>
  <c r="J81" i="12"/>
  <c r="C9" i="12" s="1"/>
  <c r="B99" i="2" s="1"/>
  <c r="J102" i="12"/>
  <c r="C28" i="12" s="1"/>
  <c r="D28" i="12" s="1"/>
  <c r="D116" i="14"/>
  <c r="D108" i="14"/>
  <c r="D105" i="14"/>
  <c r="D103" i="14"/>
  <c r="D94" i="14"/>
  <c r="D93" i="14"/>
  <c r="D92" i="14"/>
  <c r="D81" i="14"/>
  <c r="D80" i="14"/>
  <c r="D118" i="14"/>
  <c r="D107" i="14"/>
  <c r="D102" i="14"/>
  <c r="J117" i="11"/>
  <c r="B43" i="11" s="1"/>
  <c r="D42" i="11" s="1"/>
  <c r="D44" i="11" s="1"/>
  <c r="D37" i="13"/>
  <c r="D86" i="2" s="1"/>
  <c r="B27" i="13"/>
  <c r="D49" i="13"/>
  <c r="D49" i="11"/>
  <c r="D50" i="11" s="1"/>
  <c r="G131" i="11"/>
  <c r="C131" i="11"/>
  <c r="E130" i="11"/>
  <c r="B118" i="11"/>
  <c r="B116" i="11"/>
  <c r="B108" i="11"/>
  <c r="B105" i="11"/>
  <c r="B103" i="11"/>
  <c r="F131" i="11"/>
  <c r="B131" i="11"/>
  <c r="D130" i="11"/>
  <c r="E131" i="11"/>
  <c r="G130" i="11"/>
  <c r="C130" i="11"/>
  <c r="B107" i="11"/>
  <c r="B102" i="11"/>
  <c r="D131" i="11"/>
  <c r="F130" i="11"/>
  <c r="B130" i="11"/>
  <c r="B81" i="11"/>
  <c r="B92" i="11"/>
  <c r="B94" i="11" s="1"/>
  <c r="B80" i="11"/>
  <c r="E116" i="11"/>
  <c r="E108" i="11"/>
  <c r="E105" i="11"/>
  <c r="E103" i="11"/>
  <c r="E118" i="11"/>
  <c r="E107" i="11"/>
  <c r="E80" i="11"/>
  <c r="E94" i="11"/>
  <c r="E102" i="11"/>
  <c r="E93" i="11"/>
  <c r="E92" i="11"/>
  <c r="E81" i="11"/>
  <c r="D107" i="11"/>
  <c r="D102" i="11"/>
  <c r="D118" i="11"/>
  <c r="D116" i="11"/>
  <c r="D108" i="11"/>
  <c r="D105" i="11"/>
  <c r="D103" i="11"/>
  <c r="D92" i="11"/>
  <c r="D80" i="11"/>
  <c r="D93" i="11"/>
  <c r="D94" i="11"/>
  <c r="D81" i="11"/>
  <c r="C118" i="13"/>
  <c r="C116" i="13"/>
  <c r="C108" i="13"/>
  <c r="C105" i="13"/>
  <c r="C103" i="13"/>
  <c r="C92" i="13"/>
  <c r="C94" i="13" s="1"/>
  <c r="C81" i="13"/>
  <c r="C80" i="13"/>
  <c r="C107" i="13"/>
  <c r="C102" i="13"/>
  <c r="F118" i="10"/>
  <c r="F93" i="10"/>
  <c r="F92" i="10"/>
  <c r="F81" i="10"/>
  <c r="F117" i="10"/>
  <c r="F107" i="10"/>
  <c r="F102" i="10"/>
  <c r="F80" i="10"/>
  <c r="F116" i="10"/>
  <c r="F105" i="10"/>
  <c r="F103" i="10"/>
  <c r="F131" i="10"/>
  <c r="B131" i="10"/>
  <c r="D130" i="10"/>
  <c r="B81" i="10"/>
  <c r="E131" i="10"/>
  <c r="G130" i="10"/>
  <c r="C130" i="10"/>
  <c r="B117" i="10"/>
  <c r="B107" i="10"/>
  <c r="B102" i="10"/>
  <c r="B92" i="10"/>
  <c r="B94" i="10" s="1"/>
  <c r="D131" i="10"/>
  <c r="F130" i="10"/>
  <c r="B130" i="10"/>
  <c r="B80" i="10"/>
  <c r="G131" i="10"/>
  <c r="C131" i="10"/>
  <c r="E130" i="10"/>
  <c r="B118" i="10"/>
  <c r="B116" i="10"/>
  <c r="B108" i="10"/>
  <c r="B105" i="10"/>
  <c r="B103" i="10"/>
  <c r="G117" i="10"/>
  <c r="G107" i="10"/>
  <c r="G102" i="10"/>
  <c r="G80" i="10"/>
  <c r="G118" i="10"/>
  <c r="G116" i="10"/>
  <c r="G105" i="10"/>
  <c r="G103" i="10"/>
  <c r="G93" i="10"/>
  <c r="G92" i="10"/>
  <c r="G81" i="10"/>
  <c r="D40" i="14"/>
  <c r="E131" i="14"/>
  <c r="G130" i="14"/>
  <c r="C130" i="14"/>
  <c r="B107" i="14"/>
  <c r="B102" i="14"/>
  <c r="B92" i="14"/>
  <c r="B94" i="14" s="1"/>
  <c r="F131" i="14"/>
  <c r="D130" i="14"/>
  <c r="B118" i="14"/>
  <c r="B105" i="14"/>
  <c r="D131" i="14"/>
  <c r="B130" i="14"/>
  <c r="B108" i="14"/>
  <c r="B103" i="14"/>
  <c r="B80" i="14"/>
  <c r="B81" i="14"/>
  <c r="G131" i="14"/>
  <c r="B116" i="14"/>
  <c r="B131" i="14"/>
  <c r="E130" i="14"/>
  <c r="C131" i="14"/>
  <c r="F130" i="14"/>
  <c r="F80" i="12"/>
  <c r="F118" i="12"/>
  <c r="F93" i="12"/>
  <c r="F81" i="12"/>
  <c r="F105" i="12"/>
  <c r="F92" i="12"/>
  <c r="F102" i="12"/>
  <c r="F116" i="12"/>
  <c r="F103" i="12"/>
  <c r="F107" i="12"/>
  <c r="H93" i="12"/>
  <c r="H92" i="12"/>
  <c r="H81" i="12"/>
  <c r="H107" i="12"/>
  <c r="H105" i="12"/>
  <c r="H102" i="12"/>
  <c r="H118" i="12"/>
  <c r="H80" i="12"/>
  <c r="H131" i="12"/>
  <c r="H130" i="12"/>
  <c r="H116" i="12"/>
  <c r="H103" i="12"/>
  <c r="I107" i="12"/>
  <c r="I102" i="12"/>
  <c r="I131" i="12"/>
  <c r="I130" i="12"/>
  <c r="J130" i="12" s="1"/>
  <c r="K130" i="12" s="1"/>
  <c r="L130" i="12" s="1"/>
  <c r="M130" i="12" s="1"/>
  <c r="N130" i="12" s="1"/>
  <c r="O130" i="12" s="1"/>
  <c r="P130" i="12" s="1"/>
  <c r="Q130" i="12" s="1"/>
  <c r="I118" i="12"/>
  <c r="I103" i="12"/>
  <c r="I92" i="12"/>
  <c r="I80" i="12"/>
  <c r="I116" i="12"/>
  <c r="I93" i="12"/>
  <c r="I81" i="12"/>
  <c r="I105" i="12"/>
  <c r="B40" i="12"/>
  <c r="D40" i="12" s="1"/>
  <c r="C88" i="2" s="1"/>
  <c r="C89" i="2" s="1"/>
  <c r="J131" i="14"/>
  <c r="J107" i="14"/>
  <c r="J104" i="14"/>
  <c r="C30" i="14" s="1"/>
  <c r="D155" i="2" s="1"/>
  <c r="J102" i="14"/>
  <c r="C28" i="14" s="1"/>
  <c r="D153" i="2" s="1"/>
  <c r="J116" i="14"/>
  <c r="C42" i="14" s="1"/>
  <c r="J80" i="14"/>
  <c r="C8" i="14" s="1"/>
  <c r="D134" i="2" s="1"/>
  <c r="J93" i="14"/>
  <c r="C24" i="14" s="1"/>
  <c r="J103" i="14"/>
  <c r="C29" i="14" s="1"/>
  <c r="D154" i="2" s="1"/>
  <c r="J105" i="14"/>
  <c r="C31" i="14" s="1"/>
  <c r="D156" i="2" s="1"/>
  <c r="J118" i="14"/>
  <c r="B44" i="14" s="1"/>
  <c r="J92" i="14"/>
  <c r="B22" i="14" s="1"/>
  <c r="J81" i="14"/>
  <c r="C9" i="14" s="1"/>
  <c r="D135" i="2" s="1"/>
  <c r="H131" i="14"/>
  <c r="H116" i="14"/>
  <c r="H105" i="14"/>
  <c r="H103" i="14"/>
  <c r="H118" i="14"/>
  <c r="H107" i="14"/>
  <c r="H102" i="14"/>
  <c r="H92" i="14"/>
  <c r="H130" i="14"/>
  <c r="H80" i="14"/>
  <c r="H93" i="14"/>
  <c r="H81" i="14"/>
  <c r="K118" i="14"/>
  <c r="K80" i="14"/>
  <c r="K93" i="14"/>
  <c r="K81" i="14"/>
  <c r="K131" i="14"/>
  <c r="K105" i="14"/>
  <c r="K104" i="14"/>
  <c r="K107" i="14"/>
  <c r="K103" i="14"/>
  <c r="K92" i="14"/>
  <c r="K116" i="14"/>
  <c r="K102" i="14"/>
  <c r="C80" i="14"/>
  <c r="C108" i="14"/>
  <c r="C107" i="14"/>
  <c r="C103" i="14"/>
  <c r="C102" i="14"/>
  <c r="C116" i="14"/>
  <c r="C92" i="14"/>
  <c r="C94" i="14" s="1"/>
  <c r="C118" i="14"/>
  <c r="C105" i="14"/>
  <c r="C81" i="14"/>
  <c r="I117" i="11"/>
  <c r="C117" i="11"/>
  <c r="H117" i="11"/>
  <c r="C95" i="2" l="1"/>
  <c r="E107" i="2"/>
  <c r="D30" i="14"/>
  <c r="E155" i="2" s="1"/>
  <c r="D31" i="14"/>
  <c r="E156" i="2" s="1"/>
  <c r="D29" i="14"/>
  <c r="E154" i="2" s="1"/>
  <c r="D28" i="14"/>
  <c r="J100" i="11"/>
  <c r="B31" i="11" s="1"/>
  <c r="B32" i="11"/>
  <c r="J100" i="14"/>
  <c r="B31" i="14" s="1"/>
  <c r="C156" i="2" s="1"/>
  <c r="B32" i="14"/>
  <c r="C157" i="2" s="1"/>
  <c r="B40" i="13"/>
  <c r="D40" i="13" s="1"/>
  <c r="D88" i="2" s="1"/>
  <c r="D89" i="2" s="1"/>
  <c r="J100" i="12"/>
  <c r="B31" i="12" s="1"/>
  <c r="B32" i="12"/>
  <c r="C98" i="2"/>
  <c r="D28" i="10"/>
  <c r="D30" i="10"/>
  <c r="E61" i="2" s="1"/>
  <c r="D31" i="10"/>
  <c r="E62" i="2" s="1"/>
  <c r="D29" i="10"/>
  <c r="E60" i="2" s="1"/>
  <c r="J100" i="10"/>
  <c r="B31" i="10" s="1"/>
  <c r="C62" i="2" s="1"/>
  <c r="B32" i="10"/>
  <c r="C63" i="2" s="1"/>
  <c r="K100" i="10"/>
  <c r="D16" i="14"/>
  <c r="D15" i="14"/>
  <c r="D14" i="14" s="1"/>
  <c r="E147" i="2" s="1"/>
  <c r="E148" i="2" s="1"/>
  <c r="E161" i="2" s="1"/>
  <c r="E162" i="2" s="1"/>
  <c r="E86" i="2"/>
  <c r="K130" i="10"/>
  <c r="L130" i="10" s="1"/>
  <c r="M130" i="10" s="1"/>
  <c r="N130" i="10" s="1"/>
  <c r="O130" i="10" s="1"/>
  <c r="P130" i="10" s="1"/>
  <c r="Q130" i="10" s="1"/>
  <c r="C37" i="10"/>
  <c r="D37" i="10" s="1"/>
  <c r="K130" i="11"/>
  <c r="L130" i="11" s="1"/>
  <c r="M130" i="11" s="1"/>
  <c r="N130" i="11" s="1"/>
  <c r="O130" i="11" s="1"/>
  <c r="P130" i="11" s="1"/>
  <c r="Q130" i="11" s="1"/>
  <c r="C37" i="11"/>
  <c r="D37" i="11" s="1"/>
  <c r="B40" i="11" s="1"/>
  <c r="D40" i="11" s="1"/>
  <c r="C99" i="2"/>
  <c r="E70" i="2"/>
  <c r="K100" i="14"/>
  <c r="E135" i="2"/>
  <c r="E88" i="2"/>
  <c r="D30" i="13"/>
  <c r="D108" i="2" s="1"/>
  <c r="E108" i="2" s="1"/>
  <c r="D29" i="13"/>
  <c r="D107" i="2" s="1"/>
  <c r="D31" i="13"/>
  <c r="D109" i="2" s="1"/>
  <c r="E109" i="2" s="1"/>
  <c r="D28" i="13"/>
  <c r="C106" i="2"/>
  <c r="D32" i="12"/>
  <c r="C135" i="2"/>
  <c r="C137" i="2"/>
  <c r="E137" i="2" s="1"/>
  <c r="C134" i="2"/>
  <c r="E134" i="2" s="1"/>
  <c r="A3" i="14"/>
  <c r="C136" i="2"/>
  <c r="E136" i="2" s="1"/>
  <c r="K100" i="12"/>
  <c r="D95" i="2" l="1"/>
  <c r="E89" i="2"/>
  <c r="E95" i="2" s="1"/>
  <c r="D32" i="14"/>
  <c r="E153" i="2"/>
  <c r="C110" i="2"/>
  <c r="C105" i="2"/>
  <c r="D32" i="10"/>
  <c r="E59" i="2"/>
  <c r="A3" i="12"/>
  <c r="C100" i="2"/>
  <c r="C101" i="2"/>
  <c r="D47" i="14"/>
  <c r="C35" i="14"/>
  <c r="D35" i="14" s="1"/>
  <c r="E159" i="2" s="1"/>
  <c r="D46" i="14"/>
  <c r="D42" i="14"/>
  <c r="D44" i="14" s="1"/>
  <c r="D8" i="14"/>
  <c r="D10" i="14"/>
  <c r="D9" i="14"/>
  <c r="D11" i="14"/>
  <c r="D32" i="13"/>
  <c r="D106" i="2"/>
  <c r="E106" i="2" s="1"/>
  <c r="E36" i="2"/>
  <c r="E40" i="2" s="1"/>
  <c r="E46" i="2" s="1"/>
  <c r="B40" i="10"/>
  <c r="D40" i="10" s="1"/>
  <c r="E38" i="2" s="1"/>
  <c r="D105" i="2" l="1"/>
  <c r="D110" i="2"/>
  <c r="D46" i="12"/>
  <c r="D47" i="12"/>
  <c r="D42" i="12"/>
  <c r="D44" i="12" s="1"/>
  <c r="C35" i="12"/>
  <c r="D35" i="12" s="1"/>
  <c r="C112" i="2" s="1"/>
  <c r="E112" i="2" s="1"/>
  <c r="D11" i="12"/>
  <c r="D8" i="12"/>
  <c r="D9" i="12"/>
  <c r="D10" i="12"/>
  <c r="E63" i="2"/>
  <c r="E58" i="2"/>
  <c r="E157" i="2"/>
  <c r="E152" i="2"/>
  <c r="D12" i="14"/>
  <c r="E105" i="2"/>
  <c r="C51" i="2"/>
  <c r="E51" i="2" s="1"/>
  <c r="C53" i="2"/>
  <c r="E53" i="2" s="1"/>
  <c r="A3" i="10"/>
  <c r="C52" i="2"/>
  <c r="E52" i="2" s="1"/>
  <c r="E48" i="2"/>
  <c r="C54" i="2"/>
  <c r="E54" i="2" s="1"/>
  <c r="E110" i="2"/>
  <c r="A3" i="13"/>
  <c r="D101" i="2"/>
  <c r="E101" i="2" s="1"/>
  <c r="D100" i="2"/>
  <c r="E100" i="2" s="1"/>
  <c r="D98" i="2"/>
  <c r="E98" i="2" s="1"/>
  <c r="D99" i="2"/>
  <c r="E99" i="2" s="1"/>
  <c r="D46" i="13" l="1"/>
  <c r="D42" i="13"/>
  <c r="D44" i="13" s="1"/>
  <c r="D47" i="13"/>
  <c r="C35" i="13"/>
  <c r="D35" i="13" s="1"/>
  <c r="D10" i="13"/>
  <c r="D11" i="13"/>
  <c r="D9" i="13"/>
  <c r="D8" i="13"/>
  <c r="D46" i="10"/>
  <c r="D47" i="10"/>
  <c r="D42" i="10"/>
  <c r="D44" i="10" s="1"/>
  <c r="C35" i="10"/>
  <c r="D35" i="10" s="1"/>
  <c r="E65" i="2" s="1"/>
  <c r="D10" i="10"/>
  <c r="D8" i="10"/>
  <c r="D9" i="10"/>
  <c r="D11" i="10"/>
  <c r="E133" i="2"/>
  <c r="D24" i="14"/>
  <c r="E151" i="2" s="1"/>
  <c r="D1" i="14"/>
  <c r="D12" i="12"/>
  <c r="D12" i="13" l="1"/>
  <c r="D24" i="13" s="1"/>
  <c r="D103" i="2" s="1"/>
  <c r="E150" i="2"/>
  <c r="E164" i="2" s="1"/>
  <c r="D23" i="2" s="1"/>
  <c r="E145" i="2"/>
  <c r="D12" i="10"/>
  <c r="C97" i="2"/>
  <c r="D24" i="12"/>
  <c r="C103" i="2" s="1"/>
  <c r="E103" i="2" l="1"/>
  <c r="D97" i="2"/>
  <c r="D117" i="2" s="1"/>
  <c r="D1" i="12"/>
  <c r="C117" i="2"/>
  <c r="E117" i="2" s="1"/>
  <c r="D22" i="2" s="1"/>
  <c r="E97" i="2"/>
  <c r="D1" i="13"/>
  <c r="E50" i="2"/>
  <c r="D24" i="10"/>
  <c r="E56" i="2" s="1"/>
  <c r="D1" i="10" l="1"/>
  <c r="E72" i="2"/>
  <c r="D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22" authorId="0" shapeId="0" xr:uid="{45D51623-DA02-4D19-9983-AA21A90DB85A}">
      <text>
        <r>
          <rPr>
            <b/>
            <sz val="8"/>
            <color indexed="45"/>
            <rFont val="Tahoma"/>
            <family val="2"/>
          </rPr>
          <t>© Sdu - Niets uit dit rekenmodel mag worden verveelvoudigd, opgeslagen in een geautomatiseerd gegevensbestand of openbaar worden gemaakt in enige vorm of op enige wijze, hetzij elektronisch, mechanisch, door fotokopieën, opnamen of op enige andere manier, zonder voorafgaande schriftelijke toestemming van de uitgever.</t>
        </r>
      </text>
    </comment>
    <comment ref="P23" authorId="0" shapeId="0" xr:uid="{86148BFC-3A3C-47A5-AA89-EE4409405832}">
      <text>
        <r>
          <rPr>
            <b/>
            <sz val="8"/>
            <color indexed="45"/>
            <rFont val="Tahoma"/>
            <family val="2"/>
          </rPr>
          <t>De auteurs, de redactie en de uitgever staan in voor de betrouwbaarheid van dit rekenmodel waarvoor ze echter niet aansprakelijk kunnen worden gesteld.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2" authorId="0" shapeId="0" xr:uid="{97CE728D-6E92-4C3E-8D35-5406180BF420}">
      <text>
        <r>
          <rPr>
            <b/>
            <sz val="8"/>
            <color indexed="45"/>
            <rFont val="Tahoma"/>
            <family val="2"/>
          </rPr>
          <t>Toekomstige cijfers zijn op basis van het Belastingplan. Eventuele wijzigingen van het Belastingplan, worden zo snel mogelijk verwerkt in de tool. Op het voorblad kunt u zien wanneer de cijfers voor het laatst zijn aangepast.</t>
        </r>
      </text>
    </comment>
    <comment ref="G5" authorId="0" shapeId="0" xr:uid="{00000000-0006-0000-0100-000001000000}">
      <text>
        <r>
          <rPr>
            <b/>
            <sz val="8"/>
            <color indexed="45"/>
            <rFont val="Tahoma"/>
            <family val="2"/>
          </rPr>
          <t xml:space="preserve">Voor de eenmanszaak of Vof is dit de winst uit de jaarrekening. Heeft u een BV? Vul dan het totaal van de winst voor belastingen plus het DGA- salaris in. </t>
        </r>
      </text>
    </comment>
    <comment ref="G6" authorId="0" shapeId="0" xr:uid="{00000000-0006-0000-0100-000002000000}">
      <text>
        <r>
          <rPr>
            <b/>
            <sz val="8"/>
            <color indexed="45"/>
            <rFont val="Tahoma"/>
            <family val="2"/>
          </rPr>
          <t>Gebruik het bedrag uit uw jaarrekening of uit uw belastingaangifte.</t>
        </r>
      </text>
    </comment>
    <comment ref="G8" authorId="0" shapeId="0" xr:uid="{00000000-0006-0000-0100-000003000000}">
      <text>
        <r>
          <rPr>
            <b/>
            <sz val="8"/>
            <color indexed="45"/>
            <rFont val="Tahoma"/>
            <family val="2"/>
          </rPr>
          <t>Zie uw belastingaangifte of de opgave van uw bank.</t>
        </r>
      </text>
    </comment>
    <comment ref="G11" authorId="0" shapeId="0" xr:uid="{00000000-0006-0000-0100-000004000000}">
      <text>
        <r>
          <rPr>
            <b/>
            <sz val="8"/>
            <color indexed="45"/>
            <rFont val="Tahoma"/>
            <family val="2"/>
          </rPr>
          <t>Vul uw salaris als DGA in óf, als u geen BV heeft, het salaris dat u wilt gaan verdienen. Houd rekening met het gebruikelijk loon van € 44.000,- (2016).</t>
        </r>
      </text>
    </comment>
    <comment ref="G26" authorId="0" shapeId="0" xr:uid="{00000000-0006-0000-0100-000005000000}">
      <text>
        <r>
          <rPr>
            <b/>
            <sz val="8"/>
            <color indexed="45"/>
            <rFont val="Tahoma"/>
            <family val="2"/>
          </rPr>
          <t>Vink aan als u voldoet aan het urencriterium.</t>
        </r>
      </text>
    </comment>
    <comment ref="G28" authorId="0" shapeId="0" xr:uid="{00000000-0006-0000-0100-000006000000}">
      <text>
        <r>
          <rPr>
            <b/>
            <sz val="8"/>
            <color indexed="45"/>
            <rFont val="Tahoma"/>
            <family val="2"/>
          </rPr>
          <t>Aantal uren dat uw echtgenoot in de onderneming werkt.</t>
        </r>
      </text>
    </comment>
    <comment ref="G29" authorId="0" shapeId="0" xr:uid="{00000000-0006-0000-0100-000007000000}">
      <text>
        <r>
          <rPr>
            <b/>
            <sz val="8"/>
            <color indexed="45"/>
            <rFont val="Tahoma"/>
            <family val="2"/>
          </rPr>
          <t>De aan uw echtgenoot toegekende arbeidsbeloning.</t>
        </r>
      </text>
    </comment>
    <comment ref="G67" authorId="0" shapeId="0" xr:uid="{00000000-0006-0000-0100-000008000000}">
      <text>
        <r>
          <rPr>
            <b/>
            <sz val="8"/>
            <color indexed="45"/>
            <rFont val="Tahoma"/>
            <family val="2"/>
          </rPr>
          <t>De belasting die u in de toekomst moet gaan betalen.</t>
        </r>
      </text>
    </comment>
    <comment ref="G68" authorId="0" shapeId="0" xr:uid="{00000000-0006-0000-0100-000009000000}">
      <text>
        <r>
          <rPr>
            <b/>
            <sz val="8"/>
            <color indexed="45"/>
            <rFont val="Tahoma"/>
            <family val="2"/>
          </rPr>
          <t>De waarde van de uitgestelde belasting in euro's van nu (rekening houdend met rente).</t>
        </r>
      </text>
    </comment>
    <comment ref="G114" authorId="0" shapeId="0" xr:uid="{00000000-0006-0000-0100-00000A000000}">
      <text>
        <r>
          <rPr>
            <b/>
            <sz val="8"/>
            <color indexed="45"/>
            <rFont val="Tahoma"/>
            <family val="2"/>
          </rPr>
          <t>De belasting die u in de toekomst moet gaan betalen.</t>
        </r>
      </text>
    </comment>
    <comment ref="G115" authorId="0" shapeId="0" xr:uid="{00000000-0006-0000-0100-00000B000000}">
      <text>
        <r>
          <rPr>
            <b/>
            <sz val="8"/>
            <color indexed="45"/>
            <rFont val="Tahoma"/>
            <family val="2"/>
          </rPr>
          <t>De waarde van de uitgestelde belasting in euro's van nu (rekening houdend met rente).</t>
        </r>
      </text>
    </comment>
    <comment ref="G161" authorId="0" shapeId="0" xr:uid="{00000000-0006-0000-0100-00000C000000}">
      <text>
        <r>
          <rPr>
            <b/>
            <sz val="8"/>
            <color indexed="45"/>
            <rFont val="Tahoma"/>
            <family val="2"/>
          </rPr>
          <t>De belasting die u in de toekomst moet gaan betalen.</t>
        </r>
      </text>
    </comment>
    <comment ref="G162" authorId="0" shapeId="0" xr:uid="{00000000-0006-0000-0100-00000D000000}">
      <text>
        <r>
          <rPr>
            <b/>
            <sz val="8"/>
            <color indexed="45"/>
            <rFont val="Tahoma"/>
            <family val="2"/>
          </rPr>
          <t>De waarde van de uitgestelde belasting in euro's van nu (rekening houdend met rente).</t>
        </r>
      </text>
    </comment>
  </commentList>
</comments>
</file>

<file path=xl/sharedStrings.xml><?xml version="1.0" encoding="utf-8"?>
<sst xmlns="http://schemas.openxmlformats.org/spreadsheetml/2006/main" count="628" uniqueCount="132">
  <si>
    <t>WOZ-waarde eigen woning</t>
  </si>
  <si>
    <t>Hypotheekrenteaftrek</t>
  </si>
  <si>
    <t>Bijtelling auto</t>
  </si>
  <si>
    <t>Leeftijd</t>
  </si>
  <si>
    <t>Kosten BV</t>
  </si>
  <si>
    <t>Salaris DGA</t>
  </si>
  <si>
    <t>Pensioenleeftijd</t>
  </si>
  <si>
    <t>Rente</t>
  </si>
  <si>
    <t>Eigenwoningforfait</t>
  </si>
  <si>
    <t>Percentage</t>
  </si>
  <si>
    <t>Vennootschapsbelasting</t>
  </si>
  <si>
    <t>Zelfstandigenaftrek</t>
  </si>
  <si>
    <t>Startersaftrek</t>
  </si>
  <si>
    <t>FOR</t>
  </si>
  <si>
    <t>MKB-winstvrijstelling</t>
  </si>
  <si>
    <t>Totaal</t>
  </si>
  <si>
    <t>Belastingdruk</t>
  </si>
  <si>
    <t>Uitgestelde belastingdruk</t>
  </si>
  <si>
    <t>Totale belastingpercentage</t>
  </si>
  <si>
    <t>Winst uit onderneming</t>
  </si>
  <si>
    <t>Totaal aftrekposten onderneming</t>
  </si>
  <si>
    <t>Meewerkaftrek</t>
  </si>
  <si>
    <t>percentage</t>
  </si>
  <si>
    <t>Aftrek reële arbeidsbeloning</t>
  </si>
  <si>
    <t>Belastbaar inkomen</t>
  </si>
  <si>
    <t>Inkomsten uit eigen woning</t>
  </si>
  <si>
    <t>Contante waarde uitgestelde belastingdruk</t>
  </si>
  <si>
    <t>Inkomen uit onderneming</t>
  </si>
  <si>
    <t>Winst BV</t>
  </si>
  <si>
    <t>Inkomstenbelasting</t>
  </si>
  <si>
    <t>Belastingdruk pensioen</t>
  </si>
  <si>
    <t>Directe belastingdruk en kosten</t>
  </si>
  <si>
    <t>Belasting aanmerkelijk belang</t>
  </si>
  <si>
    <t>Directe belastingdruk</t>
  </si>
  <si>
    <t>Reken het snel zelf uit!</t>
  </si>
  <si>
    <r>
      <t>}</t>
    </r>
    <r>
      <rPr>
        <b/>
        <sz val="9"/>
        <color indexed="45"/>
        <rFont val="Tahoma"/>
        <family val="2"/>
      </rPr>
      <t xml:space="preserve"> klik </t>
    </r>
    <r>
      <rPr>
        <b/>
        <u/>
        <sz val="9"/>
        <color indexed="45"/>
        <rFont val="tahoma"/>
        <family val="2"/>
      </rPr>
      <t>hier</t>
    </r>
  </si>
  <si>
    <r>
      <t>}</t>
    </r>
    <r>
      <rPr>
        <sz val="8"/>
        <color indexed="45"/>
        <rFont val="Tahoma"/>
        <family val="2"/>
      </rPr>
      <t xml:space="preserve"> </t>
    </r>
    <r>
      <rPr>
        <u/>
        <sz val="8"/>
        <color indexed="45"/>
        <rFont val="Tahoma"/>
        <family val="2"/>
      </rPr>
      <t>copyright</t>
    </r>
  </si>
  <si>
    <r>
      <t>}</t>
    </r>
    <r>
      <rPr>
        <sz val="8"/>
        <color indexed="45"/>
        <rFont val="Tahoma"/>
        <family val="2"/>
      </rPr>
      <t xml:space="preserve"> </t>
    </r>
    <r>
      <rPr>
        <u/>
        <sz val="8"/>
        <color indexed="45"/>
        <rFont val="Tahoma"/>
        <family val="2"/>
      </rPr>
      <t>disclaimer</t>
    </r>
  </si>
  <si>
    <t>Ç</t>
  </si>
  <si>
    <t>i</t>
  </si>
  <si>
    <t>Å</t>
  </si>
  <si>
    <t>Æ</t>
  </si>
  <si>
    <r>
      <t>}</t>
    </r>
    <r>
      <rPr>
        <b/>
        <sz val="10"/>
        <color indexed="14"/>
        <rFont val="tahoma"/>
        <family val="2"/>
      </rPr>
      <t xml:space="preserve"> </t>
    </r>
    <r>
      <rPr>
        <b/>
        <sz val="10"/>
        <color indexed="21"/>
        <rFont val="tahoma"/>
        <family val="2"/>
      </rPr>
      <t>Gegevens: vul de rode vakjes in</t>
    </r>
  </si>
  <si>
    <r>
      <t>}</t>
    </r>
    <r>
      <rPr>
        <b/>
        <sz val="10"/>
        <color indexed="14"/>
        <rFont val="tahoma"/>
        <family val="2"/>
      </rPr>
      <t xml:space="preserve"> </t>
    </r>
    <r>
      <rPr>
        <b/>
        <sz val="10"/>
        <color indexed="21"/>
        <rFont val="tahoma"/>
        <family val="2"/>
      </rPr>
      <t>Aannames</t>
    </r>
  </si>
  <si>
    <r>
      <t>}</t>
    </r>
    <r>
      <rPr>
        <b/>
        <sz val="10"/>
        <color indexed="14"/>
        <rFont val="tahoma"/>
        <family val="2"/>
      </rPr>
      <t xml:space="preserve"> </t>
    </r>
    <r>
      <rPr>
        <b/>
        <sz val="10"/>
        <color indexed="21"/>
        <rFont val="tahoma"/>
        <family val="2"/>
      </rPr>
      <t>Resultaten BV</t>
    </r>
  </si>
  <si>
    <t>Contante waarde belastingdruk</t>
  </si>
  <si>
    <t>Belastingdruk meewerkende echtgenoot</t>
  </si>
  <si>
    <t>Meewerkuren echtgenoot:</t>
  </si>
  <si>
    <t>Reële arbeidsbeloning echtgenoot:</t>
  </si>
  <si>
    <t>Belastbaar inkomen echtgenoot</t>
  </si>
  <si>
    <t>Belastingdruk echtgenoot</t>
  </si>
  <si>
    <t>Eenmanszaak</t>
  </si>
  <si>
    <t>BV</t>
  </si>
  <si>
    <t>totale belastingdruk</t>
  </si>
  <si>
    <t>Welke rechtsvorm is fiscaal het voordeligst voor u?</t>
  </si>
  <si>
    <r>
      <t>}</t>
    </r>
    <r>
      <rPr>
        <b/>
        <sz val="10"/>
        <color indexed="14"/>
        <rFont val="tahoma"/>
        <family val="2"/>
      </rPr>
      <t xml:space="preserve"> </t>
    </r>
    <r>
      <rPr>
        <b/>
        <sz val="10"/>
        <color indexed="21"/>
        <rFont val="tahoma"/>
        <family val="2"/>
      </rPr>
      <t>Belastingdruk: samenvatting van de resultaten</t>
    </r>
  </si>
  <si>
    <r>
      <t>}</t>
    </r>
    <r>
      <rPr>
        <b/>
        <sz val="10"/>
        <color indexed="14"/>
        <rFont val="tahoma"/>
        <family val="2"/>
      </rPr>
      <t xml:space="preserve"> </t>
    </r>
    <r>
      <rPr>
        <b/>
        <sz val="10"/>
        <color indexed="21"/>
        <rFont val="tahoma"/>
        <family val="2"/>
      </rPr>
      <t>Resultaten eenmanszaak</t>
    </r>
  </si>
  <si>
    <r>
      <t>}</t>
    </r>
    <r>
      <rPr>
        <b/>
        <sz val="10"/>
        <color indexed="14"/>
        <rFont val="tahoma"/>
        <family val="2"/>
      </rPr>
      <t xml:space="preserve"> </t>
    </r>
    <r>
      <rPr>
        <b/>
        <sz val="10"/>
        <color indexed="21"/>
        <rFont val="tahoma"/>
        <family val="2"/>
      </rPr>
      <t>Resultaten samenwerkingsverband</t>
    </r>
  </si>
  <si>
    <t>Percentage vennoot 1:</t>
  </si>
  <si>
    <t>Percentage vennoot 2:</t>
  </si>
  <si>
    <t>vennoot 2</t>
  </si>
  <si>
    <t>vennoot 1</t>
  </si>
  <si>
    <t>Samenwerkingsverband</t>
  </si>
  <si>
    <t>Geboortedatum:</t>
  </si>
  <si>
    <t>Arbeidskorting</t>
  </si>
  <si>
    <t>belastbaar inkomen</t>
  </si>
  <si>
    <t>renteaftrek</t>
  </si>
  <si>
    <t>Algemene Heffingskorting</t>
  </si>
  <si>
    <t>Correctie ivm tarief hypotheekrenteaftrek</t>
  </si>
  <si>
    <t>jaar</t>
  </si>
  <si>
    <t>geboortedatum</t>
  </si>
  <si>
    <t>inkomstenbelasting</t>
  </si>
  <si>
    <t>a</t>
  </si>
  <si>
    <t>tot</t>
  </si>
  <si>
    <t>tarief</t>
  </si>
  <si>
    <t>Te betalen IB/PVV</t>
  </si>
  <si>
    <t>schijf 1</t>
  </si>
  <si>
    <t>schijf 2</t>
  </si>
  <si>
    <t>schijf 3</t>
  </si>
  <si>
    <t>schijf 4</t>
  </si>
  <si>
    <t>Box 2</t>
  </si>
  <si>
    <t>algemene heffingskorting</t>
  </si>
  <si>
    <t>maximaal</t>
  </si>
  <si>
    <t>minimaal</t>
  </si>
  <si>
    <t>afbouw vanaf schijf 1</t>
  </si>
  <si>
    <t>arbeidskorting</t>
  </si>
  <si>
    <t>Max/Min</t>
  </si>
  <si>
    <t>Correctie eigen woning</t>
  </si>
  <si>
    <t>zelfstandigenaftrek</t>
  </si>
  <si>
    <t>startersaftrek</t>
  </si>
  <si>
    <t>Mkb-winstvrijstelling</t>
  </si>
  <si>
    <t>Combinatiekorting</t>
  </si>
  <si>
    <t>minimum</t>
  </si>
  <si>
    <t>maximum</t>
  </si>
  <si>
    <t>ZVW-laag</t>
  </si>
  <si>
    <t>ZVW-hoog</t>
  </si>
  <si>
    <t>Oudedagsreserve</t>
  </si>
  <si>
    <t>schijf 5</t>
  </si>
  <si>
    <t>Contante waarde op pensioenleeftijd</t>
  </si>
  <si>
    <t>rente</t>
  </si>
  <si>
    <t>leeftijd nu</t>
  </si>
  <si>
    <t>pensioenleeftijd</t>
  </si>
  <si>
    <t>Tabellen</t>
  </si>
  <si>
    <t>schijf</t>
  </si>
  <si>
    <t>AOW</t>
  </si>
  <si>
    <t>op 1 januari</t>
  </si>
  <si>
    <t>tarief 1</t>
  </si>
  <si>
    <t>tarief 2</t>
  </si>
  <si>
    <t>tarief 3</t>
  </si>
  <si>
    <t>tarief 4</t>
  </si>
  <si>
    <t>Tariefgrens</t>
  </si>
  <si>
    <t>laag tarief</t>
  </si>
  <si>
    <t>hoog tarief</t>
  </si>
  <si>
    <t>max alg heffingskorting</t>
  </si>
  <si>
    <t>Afbouwpercentage</t>
  </si>
  <si>
    <t>min alg heffingskorting</t>
  </si>
  <si>
    <t>Max</t>
  </si>
  <si>
    <t>Min</t>
  </si>
  <si>
    <t>opbouwpercentage</t>
  </si>
  <si>
    <t>ZVW-premie</t>
  </si>
  <si>
    <t>percentage hoog</t>
  </si>
  <si>
    <t>percentage laag</t>
  </si>
  <si>
    <t>Maximum bijdrageloon</t>
  </si>
  <si>
    <t>Maximum</t>
  </si>
  <si>
    <t>Startersaftrek Arbeisongeschiktheid</t>
  </si>
  <si>
    <t>Villagrens</t>
  </si>
  <si>
    <t>Geboortedatum echtgenoot:</t>
  </si>
  <si>
    <t>Geboortedatum vennoot 2:</t>
  </si>
  <si>
    <t>winst</t>
  </si>
  <si>
    <t>Percentage Hillen</t>
  </si>
  <si>
    <r>
      <t xml:space="preserve">Maanweg 174 </t>
    </r>
    <r>
      <rPr>
        <sz val="9"/>
        <color indexed="45"/>
        <rFont val="Wingdings"/>
        <charset val="2"/>
      </rPr>
      <t>§</t>
    </r>
    <r>
      <rPr>
        <sz val="9"/>
        <color indexed="45"/>
        <rFont val="tahoma"/>
        <family val="2"/>
      </rPr>
      <t xml:space="preserve"> 2516 AB Den Haag </t>
    </r>
    <r>
      <rPr>
        <sz val="9"/>
        <color indexed="45"/>
        <rFont val="Wingdings"/>
        <charset val="2"/>
      </rPr>
      <t>§</t>
    </r>
    <r>
      <rPr>
        <sz val="9"/>
        <color indexed="45"/>
        <rFont val="tahoma"/>
        <family val="2"/>
      </rPr>
      <t xml:space="preserve"> </t>
    </r>
    <r>
      <rPr>
        <u/>
        <sz val="9"/>
        <color indexed="45"/>
        <rFont val="tahoma"/>
        <family val="2"/>
      </rPr>
      <t>e-mail de Klantenservice</t>
    </r>
  </si>
  <si>
    <t>Redeactioneel bijgewerkt tot en met 1 februari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</si>
</sst>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 #,##0_ ;_ &quot;€&quot;\ * \-#,##0_ ;_ &quot;€&quot;\ * &quot;-&quot;_ ;_ @_ "/>
    <numFmt numFmtId="41" formatCode="_ * #,##0_ ;_ * \-#,##0_ ;_ * &quot;-&quot;_ ;_ @_ "/>
    <numFmt numFmtId="164" formatCode="&quot;€&quot;\ #,##0"/>
    <numFmt numFmtId="165" formatCode="[$€-2]\ #,##0.00"/>
    <numFmt numFmtId="166" formatCode="0.0%"/>
    <numFmt numFmtId="167" formatCode="0.000%"/>
    <numFmt numFmtId="168" formatCode="&quot;€&quot;\ #,##0.00"/>
    <numFmt numFmtId="169" formatCode="[$-413]d\ mmmm\ yyyy;@"/>
    <numFmt numFmtId="170" formatCode="_ [$€-413]\ * #,##0_ ;_ [$€-413]\ * \-#,##0_ ;_ [$€-413]\ * &quot;-&quot;_ ;_ @_ "/>
    <numFmt numFmtId="171" formatCode="[$€-413]\ #,##0;[$€-413]\ \-#,##0"/>
    <numFmt numFmtId="172" formatCode="[$€-413]\ #,##0"/>
    <numFmt numFmtId="173" formatCode="0.0000"/>
  </numFmts>
  <fonts count="50" x14ac:knownFonts="1">
    <font>
      <sz val="9"/>
      <color indexed="8"/>
      <name val="Tahoma"/>
      <family val="2"/>
    </font>
    <font>
      <sz val="11"/>
      <color indexed="8"/>
      <name val="Calibri"/>
      <family val="2"/>
    </font>
    <font>
      <u/>
      <sz val="10"/>
      <color indexed="36"/>
      <name val="Arial"/>
      <family val="2"/>
    </font>
    <font>
      <u/>
      <sz val="10"/>
      <color indexed="12"/>
      <name val="Arial"/>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5"/>
      <name val="Tahoma"/>
      <family val="2"/>
    </font>
    <font>
      <b/>
      <u/>
      <sz val="9"/>
      <color indexed="45"/>
      <name val="tahoma"/>
      <family val="2"/>
    </font>
    <font>
      <b/>
      <sz val="9"/>
      <color indexed="45"/>
      <name val="Wingdings 3"/>
      <family val="1"/>
      <charset val="2"/>
    </font>
    <font>
      <sz val="8"/>
      <color indexed="45"/>
      <name val="Tahoma"/>
      <family val="2"/>
    </font>
    <font>
      <u/>
      <sz val="8"/>
      <color indexed="45"/>
      <name val="Tahoma"/>
      <family val="2"/>
    </font>
    <font>
      <sz val="8"/>
      <color indexed="45"/>
      <name val="Wingdings 3"/>
      <family val="1"/>
      <charset val="2"/>
    </font>
    <font>
      <sz val="9"/>
      <color indexed="45"/>
      <name val="Wingdings"/>
      <charset val="2"/>
    </font>
    <font>
      <sz val="9"/>
      <color indexed="45"/>
      <name val="tahoma"/>
      <family val="2"/>
    </font>
    <font>
      <u/>
      <sz val="9"/>
      <color indexed="45"/>
      <name val="tahoma"/>
      <family val="2"/>
    </font>
    <font>
      <u/>
      <sz val="9"/>
      <name val="tahoma"/>
      <family val="2"/>
    </font>
    <font>
      <b/>
      <sz val="8"/>
      <color indexed="45"/>
      <name val="Tahoma"/>
      <family val="2"/>
    </font>
    <font>
      <sz val="9"/>
      <name val="tahoma"/>
      <family val="2"/>
    </font>
    <font>
      <sz val="18"/>
      <color indexed="14"/>
      <name val="tahoma"/>
      <family val="2"/>
    </font>
    <font>
      <sz val="7"/>
      <color indexed="16"/>
      <name val="Small Fonts"/>
      <family val="2"/>
    </font>
    <font>
      <sz val="10"/>
      <name val="Tahoma"/>
      <family val="2"/>
    </font>
    <font>
      <sz val="20"/>
      <color indexed="45"/>
      <name val="Wingdings 3"/>
      <family val="1"/>
      <charset val="2"/>
    </font>
    <font>
      <sz val="20"/>
      <color indexed="53"/>
      <name val="Webdings"/>
      <family val="1"/>
      <charset val="2"/>
    </font>
    <font>
      <sz val="20"/>
      <color indexed="53"/>
      <name val="Wingdings 3"/>
      <family val="1"/>
      <charset val="2"/>
    </font>
    <font>
      <sz val="6"/>
      <name val="tahoma"/>
      <family val="2"/>
    </font>
    <font>
      <b/>
      <sz val="10"/>
      <color indexed="14"/>
      <name val="Wingdings 3"/>
      <family val="1"/>
      <charset val="2"/>
    </font>
    <font>
      <b/>
      <sz val="10"/>
      <color indexed="14"/>
      <name val="tahoma"/>
      <family val="2"/>
    </font>
    <font>
      <b/>
      <sz val="10"/>
      <color indexed="21"/>
      <name val="tahoma"/>
      <family val="2"/>
    </font>
    <font>
      <b/>
      <sz val="9"/>
      <name val="Tahoma"/>
      <family val="2"/>
    </font>
    <font>
      <i/>
      <sz val="9"/>
      <name val="tahoma"/>
      <family val="2"/>
    </font>
    <font>
      <sz val="9"/>
      <color indexed="9"/>
      <name val="tahoma"/>
      <family val="2"/>
    </font>
    <font>
      <b/>
      <sz val="9"/>
      <color indexed="9"/>
      <name val="tahoma"/>
      <family val="2"/>
    </font>
    <font>
      <sz val="14"/>
      <color indexed="45"/>
      <name val="Webdings"/>
      <family val="1"/>
      <charset val="2"/>
    </font>
    <font>
      <b/>
      <sz val="8"/>
      <color indexed="16"/>
      <name val="tahoma"/>
      <family val="2"/>
    </font>
    <font>
      <sz val="9"/>
      <color indexed="8"/>
      <name val="Tahoma"/>
      <family val="2"/>
    </font>
    <font>
      <sz val="11"/>
      <color theme="1"/>
      <name val="Calibri"/>
      <family val="2"/>
      <scheme val="minor"/>
    </font>
    <font>
      <sz val="11"/>
      <color rgb="FF006100"/>
      <name val="Calibri"/>
      <family val="2"/>
      <scheme val="minor"/>
    </font>
    <font>
      <sz val="11"/>
      <color rgb="FF9C6500"/>
      <name val="Calibri"/>
      <family val="2"/>
      <scheme val="minor"/>
    </font>
    <font>
      <sz val="9"/>
      <color theme="1"/>
      <name val="tahoma"/>
      <family val="2"/>
    </font>
    <font>
      <b/>
      <sz val="9"/>
      <color theme="1"/>
      <name val="tahoma"/>
      <family val="2"/>
    </font>
    <font>
      <b/>
      <sz val="12"/>
      <color theme="1"/>
      <name val="tahoma"/>
      <family val="2"/>
    </font>
    <font>
      <b/>
      <sz val="18"/>
      <color theme="0"/>
      <name val="tahoma"/>
      <family val="2"/>
    </font>
    <font>
      <b/>
      <sz val="9"/>
      <color theme="0"/>
      <name val="tahoma"/>
      <family val="2"/>
    </font>
    <font>
      <i/>
      <sz val="8"/>
      <name val="tahoma"/>
      <family val="2"/>
    </font>
    <font>
      <sz val="8"/>
      <name val="tahoma"/>
      <family val="2"/>
    </font>
    <font>
      <sz val="9"/>
      <color rgb="FFFFFFFF"/>
      <name val="Tahoma"/>
      <family val="2"/>
    </font>
    <font>
      <sz val="14"/>
      <color rgb="FFFF0000"/>
      <name val="Webdings"/>
      <family val="1"/>
      <charset val="2"/>
    </font>
    <font>
      <i/>
      <sz val="9"/>
      <color rgb="FFFF0000"/>
      <name val="Tahoma"/>
      <family val="2"/>
    </font>
  </fonts>
  <fills count="19">
    <fill>
      <patternFill patternType="none"/>
    </fill>
    <fill>
      <patternFill patternType="gray125"/>
    </fill>
    <fill>
      <patternFill patternType="solid">
        <fgColor indexed="16"/>
        <bgColor indexed="21"/>
      </patternFill>
    </fill>
    <fill>
      <patternFill patternType="solid">
        <fgColor indexed="8"/>
        <bgColor indexed="64"/>
      </patternFill>
    </fill>
    <fill>
      <patternFill patternType="lightGray">
        <fgColor indexed="19"/>
        <bgColor indexed="8"/>
      </patternFill>
    </fill>
    <fill>
      <patternFill patternType="solid">
        <fgColor indexed="16"/>
        <bgColor indexed="64"/>
      </patternFill>
    </fill>
    <fill>
      <patternFill patternType="mediumGray">
        <fgColor indexed="8"/>
        <bgColor indexed="16"/>
      </patternFill>
    </fill>
    <fill>
      <patternFill patternType="solid">
        <fgColor indexed="47"/>
        <bgColor indexed="64"/>
      </patternFill>
    </fill>
    <fill>
      <patternFill patternType="solid">
        <fgColor indexed="45"/>
        <bgColor indexed="64"/>
      </patternFill>
    </fill>
    <fill>
      <patternFill patternType="solid">
        <fgColor indexed="17"/>
        <bgColor indexed="64"/>
      </patternFill>
    </fill>
    <fill>
      <patternFill patternType="solid">
        <fgColor indexed="19"/>
        <bgColor indexed="64"/>
      </patternFill>
    </fill>
    <fill>
      <patternFill patternType="solid">
        <fgColor indexed="14"/>
        <bgColor indexed="64"/>
      </patternFill>
    </fill>
    <fill>
      <patternFill patternType="solid">
        <fgColor indexed="60"/>
        <bgColor indexed="64"/>
      </patternFill>
    </fill>
    <fill>
      <patternFill patternType="solid">
        <fgColor indexed="46"/>
        <bgColor indexed="64"/>
      </patternFill>
    </fill>
    <fill>
      <patternFill patternType="solid">
        <fgColor indexed="21"/>
        <bgColor indexed="8"/>
      </patternFill>
    </fill>
    <fill>
      <patternFill patternType="solid">
        <fgColor rgb="FFC6EFCE"/>
      </patternFill>
    </fill>
    <fill>
      <patternFill patternType="solid">
        <fgColor rgb="FFFFEB9C"/>
      </patternFill>
    </fill>
    <fill>
      <patternFill patternType="solid">
        <fgColor theme="5" tint="0.59999389629810485"/>
        <bgColor indexed="64"/>
      </patternFill>
    </fill>
    <fill>
      <patternFill patternType="solid">
        <fgColor rgb="FFFF0000"/>
        <bgColor indexed="64"/>
      </patternFill>
    </fill>
  </fills>
  <borders count="27">
    <border>
      <left/>
      <right/>
      <top/>
      <bottom/>
      <diagonal/>
    </border>
    <border>
      <left style="medium">
        <color indexed="17"/>
      </left>
      <right style="medium">
        <color indexed="17"/>
      </right>
      <top style="medium">
        <color indexed="17"/>
      </top>
      <bottom/>
      <diagonal/>
    </border>
    <border>
      <left style="medium">
        <color indexed="47"/>
      </left>
      <right/>
      <top/>
      <bottom/>
      <diagonal/>
    </border>
    <border>
      <left/>
      <right style="medium">
        <color indexed="47"/>
      </right>
      <top/>
      <bottom/>
      <diagonal/>
    </border>
    <border>
      <left style="thick">
        <color indexed="19"/>
      </left>
      <right/>
      <top style="thick">
        <color indexed="19"/>
      </top>
      <bottom/>
      <diagonal/>
    </border>
    <border>
      <left/>
      <right/>
      <top style="thick">
        <color indexed="19"/>
      </top>
      <bottom/>
      <diagonal/>
    </border>
    <border>
      <left/>
      <right style="thick">
        <color indexed="19"/>
      </right>
      <top style="thick">
        <color indexed="19"/>
      </top>
      <bottom/>
      <diagonal/>
    </border>
    <border>
      <left style="thick">
        <color indexed="19"/>
      </left>
      <right/>
      <top/>
      <bottom/>
      <diagonal/>
    </border>
    <border>
      <left/>
      <right style="thick">
        <color indexed="19"/>
      </right>
      <top/>
      <bottom/>
      <diagonal/>
    </border>
    <border>
      <left style="thick">
        <color indexed="19"/>
      </left>
      <right/>
      <top/>
      <bottom style="thick">
        <color indexed="19"/>
      </bottom>
      <diagonal/>
    </border>
    <border>
      <left/>
      <right/>
      <top/>
      <bottom style="thick">
        <color indexed="19"/>
      </bottom>
      <diagonal/>
    </border>
    <border>
      <left/>
      <right style="thick">
        <color indexed="19"/>
      </right>
      <top/>
      <bottom style="thick">
        <color indexed="19"/>
      </bottom>
      <diagonal/>
    </border>
    <border>
      <left/>
      <right style="thick">
        <color indexed="19"/>
      </right>
      <top style="thin">
        <color indexed="45"/>
      </top>
      <bottom style="thin">
        <color indexed="45"/>
      </bottom>
      <diagonal/>
    </border>
    <border>
      <left style="thin">
        <color indexed="45"/>
      </left>
      <right style="thin">
        <color indexed="45"/>
      </right>
      <top/>
      <bottom/>
      <diagonal/>
    </border>
    <border>
      <left style="thick">
        <color indexed="19"/>
      </left>
      <right/>
      <top style="thin">
        <color indexed="45"/>
      </top>
      <bottom style="thin">
        <color indexed="45"/>
      </bottom>
      <diagonal/>
    </border>
    <border>
      <left/>
      <right/>
      <top style="thin">
        <color indexed="45"/>
      </top>
      <bottom style="thin">
        <color indexed="45"/>
      </bottom>
      <diagonal/>
    </border>
    <border>
      <left style="thin">
        <color indexed="45"/>
      </left>
      <right style="thin">
        <color indexed="45"/>
      </right>
      <top style="thin">
        <color indexed="45"/>
      </top>
      <bottom style="thin">
        <color indexed="45"/>
      </bottom>
      <diagonal/>
    </border>
    <border>
      <left style="thick">
        <color indexed="19"/>
      </left>
      <right/>
      <top style="thin">
        <color indexed="45"/>
      </top>
      <bottom style="thick">
        <color indexed="19"/>
      </bottom>
      <diagonal/>
    </border>
    <border>
      <left/>
      <right/>
      <top style="thin">
        <color indexed="45"/>
      </top>
      <bottom style="thick">
        <color indexed="19"/>
      </bottom>
      <diagonal/>
    </border>
    <border>
      <left/>
      <right style="thick">
        <color indexed="19"/>
      </right>
      <top style="thin">
        <color indexed="45"/>
      </top>
      <bottom style="thick">
        <color indexed="19"/>
      </bottom>
      <diagonal/>
    </border>
    <border>
      <left style="thin">
        <color indexed="60"/>
      </left>
      <right style="thin">
        <color indexed="60"/>
      </right>
      <top style="thin">
        <color indexed="60"/>
      </top>
      <bottom style="thin">
        <color indexed="60"/>
      </bottom>
      <diagonal/>
    </border>
    <border>
      <left style="thin">
        <color indexed="45"/>
      </left>
      <right/>
      <top style="thin">
        <color indexed="45"/>
      </top>
      <bottom style="thin">
        <color indexed="45"/>
      </bottom>
      <diagonal/>
    </border>
    <border>
      <left style="thin">
        <color indexed="8"/>
      </left>
      <right style="thin">
        <color indexed="8"/>
      </right>
      <top style="thin">
        <color indexed="8"/>
      </top>
      <bottom style="thin">
        <color indexed="8"/>
      </bottom>
      <diagonal/>
    </border>
    <border>
      <left style="thin">
        <color indexed="45"/>
      </left>
      <right style="thick">
        <color indexed="19"/>
      </right>
      <top style="thin">
        <color indexed="45"/>
      </top>
      <bottom style="thin">
        <color indexed="45"/>
      </bottom>
      <diagonal/>
    </border>
    <border>
      <left style="thin">
        <color indexed="64"/>
      </left>
      <right/>
      <top/>
      <bottom/>
      <diagonal/>
    </border>
    <border>
      <left style="thin">
        <color theme="0"/>
      </left>
      <right style="thick">
        <color theme="1" tint="0.499984740745262"/>
      </right>
      <top style="thin">
        <color indexed="8"/>
      </top>
      <bottom style="thin">
        <color indexed="45"/>
      </bottom>
      <diagonal/>
    </border>
    <border>
      <left style="thin">
        <color theme="0"/>
      </left>
      <right style="thin">
        <color theme="0"/>
      </right>
      <top style="thin">
        <color theme="0"/>
      </top>
      <bottom style="thin">
        <color theme="0"/>
      </bottom>
      <diagonal/>
    </border>
  </borders>
  <cellStyleXfs count="8">
    <xf numFmtId="0" fontId="0" fillId="0" borderId="0"/>
    <xf numFmtId="0" fontId="2" fillId="0" borderId="0" applyNumberFormat="0" applyFont="0" applyFill="0" applyBorder="0" applyAlignment="0" applyProtection="0">
      <alignment vertical="top"/>
      <protection locked="0"/>
    </xf>
    <xf numFmtId="0" fontId="38" fillId="15" borderId="0" applyNumberFormat="0" applyBorder="0" applyAlignment="0" applyProtection="0"/>
    <xf numFmtId="0" fontId="3" fillId="0" borderId="0" applyNumberFormat="0" applyFont="0" applyFill="0" applyBorder="0" applyAlignment="0" applyProtection="0">
      <alignment vertical="top"/>
      <protection locked="0"/>
    </xf>
    <xf numFmtId="0" fontId="39" fillId="16" borderId="0" applyNumberFormat="0" applyBorder="0" applyAlignment="0" applyProtection="0"/>
    <xf numFmtId="0" fontId="36" fillId="0" borderId="0">
      <alignment vertical="center"/>
    </xf>
    <xf numFmtId="9" fontId="1" fillId="0" borderId="0" applyFont="0" applyFill="0" applyBorder="0" applyAlignment="0" applyProtection="0"/>
    <xf numFmtId="9" fontId="37" fillId="0" borderId="0" applyFont="0" applyFill="0" applyBorder="0" applyAlignment="0" applyProtection="0"/>
  </cellStyleXfs>
  <cellXfs count="233">
    <xf numFmtId="0" fontId="0" fillId="0" borderId="0" xfId="0"/>
    <xf numFmtId="0" fontId="23" fillId="5" borderId="1" xfId="1" applyFont="1" applyFill="1" applyBorder="1" applyAlignment="1" applyProtection="1">
      <alignment horizontal="center" vertical="center"/>
      <protection hidden="1"/>
    </xf>
    <xf numFmtId="0" fontId="24" fillId="6"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0" fillId="7" borderId="2" xfId="0" applyFill="1" applyBorder="1" applyAlignment="1" applyProtection="1">
      <alignment vertical="center"/>
      <protection hidden="1"/>
    </xf>
    <xf numFmtId="0" fontId="0" fillId="7" borderId="0" xfId="0" applyFill="1" applyBorder="1" applyAlignment="1" applyProtection="1">
      <alignment vertical="center"/>
      <protection hidden="1"/>
    </xf>
    <xf numFmtId="0" fontId="0" fillId="7" borderId="3" xfId="0" applyFill="1" applyBorder="1" applyAlignment="1" applyProtection="1">
      <alignment vertical="center"/>
      <protection hidden="1"/>
    </xf>
    <xf numFmtId="0" fontId="26" fillId="7" borderId="2" xfId="0" applyFont="1" applyFill="1" applyBorder="1" applyAlignment="1" applyProtection="1">
      <alignment vertical="center"/>
      <protection hidden="1"/>
    </xf>
    <xf numFmtId="0" fontId="22" fillId="7" borderId="0" xfId="0" applyFont="1" applyFill="1" applyBorder="1" applyAlignment="1" applyProtection="1">
      <alignment vertical="center"/>
      <protection hidden="1"/>
    </xf>
    <xf numFmtId="0" fontId="22" fillId="7" borderId="3" xfId="0" applyFont="1" applyFill="1" applyBorder="1" applyAlignment="1" applyProtection="1">
      <alignment vertical="center"/>
      <protection hidden="1"/>
    </xf>
    <xf numFmtId="165" fontId="27" fillId="0" borderId="0" xfId="0" applyNumberFormat="1" applyFont="1" applyFill="1" applyBorder="1" applyAlignment="1" applyProtection="1">
      <alignment vertical="center"/>
      <protection hidden="1"/>
    </xf>
    <xf numFmtId="0" fontId="21" fillId="8" borderId="0" xfId="0" applyFont="1" applyFill="1" applyBorder="1" applyAlignment="1" applyProtection="1">
      <alignment horizontal="center" vertical="center"/>
      <protection hidden="1"/>
    </xf>
    <xf numFmtId="0" fontId="22" fillId="8" borderId="0" xfId="0" applyFont="1" applyFill="1" applyAlignment="1" applyProtection="1">
      <alignment horizontal="center" vertical="center"/>
      <protection hidden="1"/>
    </xf>
    <xf numFmtId="165" fontId="27" fillId="0" borderId="4" xfId="0" applyNumberFormat="1" applyFont="1" applyFill="1" applyBorder="1" applyAlignment="1" applyProtection="1">
      <alignment vertical="center"/>
      <protection hidden="1"/>
    </xf>
    <xf numFmtId="0" fontId="19" fillId="0" borderId="0" xfId="0" applyFont="1" applyAlignment="1" applyProtection="1">
      <alignment vertical="center"/>
      <protection hidden="1"/>
    </xf>
    <xf numFmtId="0" fontId="19" fillId="0" borderId="0" xfId="0" applyFont="1" applyFill="1" applyAlignment="1" applyProtection="1">
      <alignment vertical="center"/>
      <protection hidden="1"/>
    </xf>
    <xf numFmtId="0" fontId="19" fillId="0" borderId="0" xfId="0" applyFont="1" applyAlignment="1" applyProtection="1">
      <alignment horizontal="left" vertical="center" indent="1"/>
      <protection hidden="1"/>
    </xf>
    <xf numFmtId="0" fontId="19" fillId="7" borderId="0" xfId="0" applyFont="1" applyFill="1" applyAlignment="1" applyProtection="1">
      <alignment vertical="center"/>
      <protection hidden="1"/>
    </xf>
    <xf numFmtId="164" fontId="19" fillId="0" borderId="0" xfId="0" applyNumberFormat="1" applyFont="1" applyFill="1" applyAlignment="1" applyProtection="1">
      <alignment vertical="center"/>
      <protection hidden="1"/>
    </xf>
    <xf numFmtId="0" fontId="19" fillId="0" borderId="5" xfId="0" applyFont="1" applyBorder="1" applyAlignment="1" applyProtection="1">
      <alignment vertical="center"/>
      <protection hidden="1"/>
    </xf>
    <xf numFmtId="0" fontId="19" fillId="0" borderId="6" xfId="0" applyFont="1" applyBorder="1" applyAlignment="1" applyProtection="1">
      <alignment vertical="center"/>
      <protection hidden="1"/>
    </xf>
    <xf numFmtId="0" fontId="19" fillId="0" borderId="7" xfId="0" applyFont="1" applyBorder="1" applyAlignment="1" applyProtection="1">
      <alignment horizontal="left" vertical="center" indent="2"/>
      <protection hidden="1"/>
    </xf>
    <xf numFmtId="0" fontId="19" fillId="0" borderId="0" xfId="0" applyFont="1" applyBorder="1" applyAlignment="1" applyProtection="1">
      <alignment vertical="center"/>
      <protection hidden="1"/>
    </xf>
    <xf numFmtId="0" fontId="19" fillId="0" borderId="8" xfId="0" applyFont="1" applyBorder="1" applyAlignment="1" applyProtection="1">
      <alignment vertical="center"/>
      <protection hidden="1"/>
    </xf>
    <xf numFmtId="42" fontId="19" fillId="0" borderId="8" xfId="0" applyNumberFormat="1" applyFont="1" applyBorder="1" applyAlignment="1" applyProtection="1">
      <alignment vertical="center"/>
      <protection hidden="1"/>
    </xf>
    <xf numFmtId="0" fontId="30" fillId="9" borderId="7" xfId="0" applyFont="1" applyFill="1" applyBorder="1" applyAlignment="1" applyProtection="1">
      <alignment horizontal="left" vertical="center" indent="2"/>
      <protection hidden="1"/>
    </xf>
    <xf numFmtId="0" fontId="19" fillId="9" borderId="0" xfId="0" applyFont="1" applyFill="1" applyBorder="1" applyAlignment="1" applyProtection="1">
      <alignment vertical="center"/>
      <protection hidden="1"/>
    </xf>
    <xf numFmtId="42" fontId="19" fillId="9" borderId="8" xfId="0" applyNumberFormat="1" applyFont="1" applyFill="1" applyBorder="1" applyAlignment="1" applyProtection="1">
      <alignment vertical="center"/>
      <protection hidden="1"/>
    </xf>
    <xf numFmtId="0" fontId="31" fillId="0" borderId="7" xfId="0" applyFont="1" applyBorder="1" applyAlignment="1" applyProtection="1">
      <alignment horizontal="left" vertical="center" indent="2"/>
      <protection hidden="1"/>
    </xf>
    <xf numFmtId="0" fontId="33" fillId="10" borderId="9" xfId="0" applyFont="1" applyFill="1" applyBorder="1" applyAlignment="1" applyProtection="1">
      <alignment horizontal="left" vertical="center" indent="2"/>
      <protection hidden="1"/>
    </xf>
    <xf numFmtId="0" fontId="32" fillId="10" borderId="10" xfId="0" applyFont="1" applyFill="1" applyBorder="1" applyAlignment="1" applyProtection="1">
      <alignment vertical="center"/>
      <protection hidden="1"/>
    </xf>
    <xf numFmtId="10" fontId="33" fillId="10" borderId="11" xfId="0" applyNumberFormat="1" applyFont="1" applyFill="1" applyBorder="1" applyAlignment="1" applyProtection="1">
      <alignment horizontal="right" vertical="center"/>
      <protection hidden="1"/>
    </xf>
    <xf numFmtId="0" fontId="30" fillId="9" borderId="12" xfId="0" applyFont="1" applyFill="1" applyBorder="1" applyAlignment="1" applyProtection="1">
      <alignment horizontal="center" vertical="center"/>
      <protection hidden="1"/>
    </xf>
    <xf numFmtId="42" fontId="19" fillId="8" borderId="0" xfId="0" applyNumberFormat="1" applyFont="1" applyFill="1" applyBorder="1" applyAlignment="1" applyProtection="1">
      <alignment vertical="center"/>
      <protection hidden="1"/>
    </xf>
    <xf numFmtId="42" fontId="19" fillId="0" borderId="13" xfId="0" applyNumberFormat="1" applyFont="1" applyFill="1" applyBorder="1" applyAlignment="1" applyProtection="1">
      <alignment vertical="center"/>
      <protection hidden="1"/>
    </xf>
    <xf numFmtId="42" fontId="19" fillId="0" borderId="8" xfId="0" applyNumberFormat="1" applyFont="1" applyFill="1" applyBorder="1" applyAlignment="1" applyProtection="1">
      <alignment vertical="center"/>
      <protection hidden="1"/>
    </xf>
    <xf numFmtId="0" fontId="19" fillId="9" borderId="14" xfId="0" applyFont="1" applyFill="1" applyBorder="1" applyAlignment="1" applyProtection="1">
      <alignment horizontal="left" vertical="center" indent="2"/>
      <protection hidden="1"/>
    </xf>
    <xf numFmtId="42" fontId="19" fillId="9" borderId="15" xfId="0" applyNumberFormat="1" applyFont="1" applyFill="1" applyBorder="1" applyAlignment="1" applyProtection="1">
      <alignment vertical="center"/>
      <protection hidden="1"/>
    </xf>
    <xf numFmtId="42" fontId="19" fillId="9" borderId="16" xfId="0" applyNumberFormat="1" applyFont="1" applyFill="1" applyBorder="1" applyAlignment="1" applyProtection="1">
      <alignment vertical="center"/>
      <protection hidden="1"/>
    </xf>
    <xf numFmtId="42" fontId="19" fillId="9" borderId="12" xfId="0" applyNumberFormat="1" applyFont="1" applyFill="1" applyBorder="1" applyAlignment="1" applyProtection="1">
      <alignment vertical="center"/>
      <protection hidden="1"/>
    </xf>
    <xf numFmtId="42" fontId="31" fillId="8" borderId="0" xfId="0" applyNumberFormat="1" applyFont="1" applyFill="1" applyBorder="1" applyAlignment="1" applyProtection="1">
      <alignment vertical="center"/>
      <protection hidden="1"/>
    </xf>
    <xf numFmtId="42" fontId="31" fillId="0" borderId="8" xfId="0" applyNumberFormat="1" applyFont="1" applyFill="1" applyBorder="1" applyAlignment="1" applyProtection="1">
      <alignment vertical="center"/>
      <protection hidden="1"/>
    </xf>
    <xf numFmtId="42" fontId="19" fillId="0" borderId="0" xfId="0" applyNumberFormat="1" applyFont="1" applyFill="1" applyBorder="1" applyAlignment="1" applyProtection="1">
      <alignment vertical="center"/>
      <protection hidden="1"/>
    </xf>
    <xf numFmtId="0" fontId="19" fillId="0" borderId="8" xfId="0" applyFont="1" applyFill="1" applyBorder="1" applyAlignment="1" applyProtection="1">
      <alignment vertical="center"/>
      <protection hidden="1"/>
    </xf>
    <xf numFmtId="0" fontId="33" fillId="10" borderId="17" xfId="0" applyFont="1" applyFill="1" applyBorder="1" applyAlignment="1" applyProtection="1">
      <alignment horizontal="left" vertical="center" indent="2"/>
      <protection hidden="1"/>
    </xf>
    <xf numFmtId="42" fontId="32" fillId="10" borderId="18" xfId="0" applyNumberFormat="1" applyFont="1" applyFill="1" applyBorder="1" applyAlignment="1" applyProtection="1">
      <alignment vertical="center"/>
      <protection hidden="1"/>
    </xf>
    <xf numFmtId="10" fontId="33" fillId="10" borderId="19" xfId="0" applyNumberFormat="1" applyFont="1" applyFill="1" applyBorder="1" applyAlignment="1" applyProtection="1">
      <alignment horizontal="right" vertical="center"/>
      <protection hidden="1"/>
    </xf>
    <xf numFmtId="0" fontId="34" fillId="11" borderId="20" xfId="0" applyFont="1" applyFill="1" applyBorder="1" applyAlignment="1" applyProtection="1">
      <alignment horizontal="center" vertical="center"/>
      <protection hidden="1"/>
    </xf>
    <xf numFmtId="0" fontId="19" fillId="0" borderId="7" xfId="0" applyFont="1" applyFill="1" applyBorder="1" applyAlignment="1" applyProtection="1">
      <alignment horizontal="left" vertical="center" indent="2"/>
      <protection hidden="1"/>
    </xf>
    <xf numFmtId="0" fontId="30" fillId="9" borderId="21" xfId="0" applyFont="1" applyFill="1" applyBorder="1" applyAlignment="1" applyProtection="1">
      <alignment horizontal="center" vertical="center"/>
      <protection hidden="1"/>
    </xf>
    <xf numFmtId="0" fontId="30" fillId="9" borderId="16" xfId="0" applyFont="1" applyFill="1" applyBorder="1" applyAlignment="1" applyProtection="1">
      <alignment horizontal="center" vertical="center"/>
      <protection hidden="1"/>
    </xf>
    <xf numFmtId="0" fontId="19" fillId="0" borderId="0" xfId="0" applyFont="1" applyFill="1" applyAlignment="1" applyProtection="1">
      <alignment horizontal="left" vertical="center" indent="1"/>
      <protection hidden="1"/>
    </xf>
    <xf numFmtId="0" fontId="18" fillId="5" borderId="22" xfId="0" applyFont="1" applyFill="1" applyBorder="1" applyAlignment="1" applyProtection="1">
      <alignment horizontal="center" vertical="center"/>
      <protection hidden="1"/>
    </xf>
    <xf numFmtId="0" fontId="18" fillId="5" borderId="22" xfId="0" applyFont="1" applyFill="1" applyBorder="1" applyAlignment="1" applyProtection="1">
      <alignment horizontal="left" vertical="center" indent="1"/>
      <protection hidden="1"/>
    </xf>
    <xf numFmtId="10" fontId="30" fillId="9" borderId="23" xfId="0" applyNumberFormat="1" applyFont="1" applyFill="1" applyBorder="1" applyAlignment="1" applyProtection="1">
      <alignment vertical="center"/>
      <protection hidden="1"/>
    </xf>
    <xf numFmtId="10" fontId="35" fillId="12" borderId="22" xfId="0" applyNumberFormat="1" applyFont="1" applyFill="1" applyBorder="1" applyAlignment="1" applyProtection="1">
      <alignment horizontal="center" vertical="center"/>
      <protection hidden="1"/>
    </xf>
    <xf numFmtId="164" fontId="35" fillId="12" borderId="22" xfId="0" applyNumberFormat="1" applyFont="1" applyFill="1" applyBorder="1" applyAlignment="1" applyProtection="1">
      <alignment horizontal="center" vertical="center"/>
      <protection hidden="1"/>
    </xf>
    <xf numFmtId="42" fontId="19" fillId="0" borderId="0" xfId="0" applyNumberFormat="1" applyFont="1" applyAlignment="1" applyProtection="1">
      <alignment vertical="center"/>
      <protection hidden="1"/>
    </xf>
    <xf numFmtId="0" fontId="19" fillId="0" borderId="7" xfId="0" applyFont="1" applyFill="1" applyBorder="1" applyAlignment="1" applyProtection="1">
      <alignment horizontal="left" vertical="center" indent="2"/>
      <protection locked="0"/>
    </xf>
    <xf numFmtId="0" fontId="19" fillId="0" borderId="0" xfId="0" applyFont="1" applyBorder="1" applyAlignment="1" applyProtection="1">
      <alignment vertical="center"/>
      <protection locked="0"/>
    </xf>
    <xf numFmtId="10" fontId="33" fillId="13" borderId="23" xfId="0" applyNumberFormat="1"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0" xfId="0" applyFont="1" applyFill="1" applyAlignment="1" applyProtection="1">
      <alignment vertical="center"/>
      <protection locked="0"/>
    </xf>
    <xf numFmtId="164" fontId="33" fillId="13" borderId="16" xfId="0" applyNumberFormat="1" applyFont="1" applyFill="1" applyBorder="1" applyAlignment="1" applyProtection="1">
      <alignment vertical="center"/>
      <protection locked="0"/>
    </xf>
    <xf numFmtId="0" fontId="33" fillId="13" borderId="16" xfId="0" applyNumberFormat="1" applyFont="1" applyFill="1" applyBorder="1" applyAlignment="1" applyProtection="1">
      <alignment vertical="center"/>
      <protection locked="0"/>
    </xf>
    <xf numFmtId="165" fontId="27" fillId="0" borderId="7" xfId="0" applyNumberFormat="1" applyFont="1" applyFill="1" applyBorder="1" applyAlignment="1" applyProtection="1">
      <alignment vertical="center"/>
      <protection locked="0"/>
    </xf>
    <xf numFmtId="0" fontId="19" fillId="0" borderId="8" xfId="0" applyFont="1" applyBorder="1" applyAlignment="1" applyProtection="1">
      <alignment vertical="center"/>
      <protection locked="0"/>
    </xf>
    <xf numFmtId="0" fontId="19" fillId="0" borderId="0" xfId="0" applyFont="1" applyFill="1" applyBorder="1" applyAlignment="1" applyProtection="1">
      <alignment vertical="center"/>
      <protection locked="0"/>
    </xf>
    <xf numFmtId="0" fontId="33" fillId="13" borderId="23" xfId="0" applyFont="1" applyFill="1" applyBorder="1" applyAlignment="1" applyProtection="1">
      <alignment vertical="center"/>
      <protection locked="0"/>
    </xf>
    <xf numFmtId="164" fontId="33" fillId="13" borderId="23" xfId="0" applyNumberFormat="1" applyFont="1" applyFill="1" applyBorder="1" applyAlignment="1" applyProtection="1">
      <alignment vertical="center"/>
      <protection locked="0"/>
    </xf>
    <xf numFmtId="14" fontId="19" fillId="0" borderId="0" xfId="0" applyNumberFormat="1" applyFont="1" applyAlignment="1" applyProtection="1">
      <alignment vertical="center"/>
      <protection hidden="1"/>
    </xf>
    <xf numFmtId="164" fontId="30" fillId="17" borderId="16" xfId="0" applyNumberFormat="1" applyFont="1" applyFill="1" applyBorder="1" applyAlignment="1" applyProtection="1">
      <alignment vertical="center"/>
      <protection locked="0"/>
    </xf>
    <xf numFmtId="10" fontId="30" fillId="17" borderId="16" xfId="0" applyNumberFormat="1" applyFont="1" applyFill="1" applyBorder="1" applyAlignment="1" applyProtection="1">
      <alignment vertical="center"/>
      <protection locked="0"/>
    </xf>
    <xf numFmtId="0" fontId="40" fillId="18" borderId="0" xfId="5" applyFont="1" applyFill="1" applyAlignment="1" applyProtection="1">
      <alignment horizontal="left" vertical="center"/>
      <protection locked="0"/>
    </xf>
    <xf numFmtId="0" fontId="40" fillId="0" borderId="0" xfId="5" applyFont="1" applyFill="1" applyProtection="1">
      <alignment vertical="center"/>
      <protection locked="0"/>
    </xf>
    <xf numFmtId="42" fontId="38" fillId="15" borderId="0" xfId="2" applyNumberFormat="1" applyAlignment="1" applyProtection="1">
      <alignment vertical="center"/>
      <protection locked="0"/>
    </xf>
    <xf numFmtId="0" fontId="40" fillId="0" borderId="24" xfId="5" applyFont="1" applyFill="1" applyBorder="1" applyProtection="1">
      <alignment vertical="center"/>
      <protection locked="0"/>
    </xf>
    <xf numFmtId="0" fontId="40" fillId="0" borderId="0" xfId="5" applyFont="1" applyFill="1" applyBorder="1" applyProtection="1">
      <alignment vertical="center"/>
      <protection locked="0"/>
    </xf>
    <xf numFmtId="42" fontId="38" fillId="0" borderId="0" xfId="2" applyNumberFormat="1" applyFill="1" applyAlignment="1" applyProtection="1">
      <alignment vertical="center"/>
      <protection locked="0"/>
    </xf>
    <xf numFmtId="0" fontId="19" fillId="0" borderId="0" xfId="5" applyFont="1" applyFill="1" applyBorder="1" applyAlignment="1" applyProtection="1">
      <alignment horizontal="left" vertical="center"/>
      <protection locked="0"/>
    </xf>
    <xf numFmtId="14" fontId="40" fillId="18" borderId="0" xfId="5" applyNumberFormat="1" applyFont="1" applyFill="1" applyAlignment="1" applyProtection="1">
      <alignment horizontal="left" vertical="center"/>
      <protection locked="0"/>
    </xf>
    <xf numFmtId="14" fontId="40" fillId="0" borderId="0" xfId="5" applyNumberFormat="1" applyFont="1" applyFill="1" applyAlignment="1" applyProtection="1">
      <alignment horizontal="left" vertical="center"/>
      <protection locked="0"/>
    </xf>
    <xf numFmtId="0" fontId="40" fillId="0" borderId="0" xfId="5" applyFont="1" applyFill="1" applyAlignment="1" applyProtection="1">
      <alignment horizontal="left" vertical="center"/>
      <protection locked="0"/>
    </xf>
    <xf numFmtId="0" fontId="41" fillId="0" borderId="0" xfId="5" applyFont="1" applyFill="1" applyAlignment="1" applyProtection="1">
      <alignment horizontal="left" vertical="center"/>
      <protection locked="0"/>
    </xf>
    <xf numFmtId="0" fontId="41" fillId="0" borderId="0" xfId="5" applyFont="1" applyFill="1" applyBorder="1" applyAlignment="1" applyProtection="1">
      <alignment horizontal="left" vertical="center"/>
      <protection locked="0"/>
    </xf>
    <xf numFmtId="0" fontId="41" fillId="0" borderId="0" xfId="5" applyFont="1" applyFill="1" applyBorder="1" applyAlignment="1" applyProtection="1">
      <alignment horizontal="right" vertical="center"/>
      <protection locked="0"/>
    </xf>
    <xf numFmtId="0" fontId="41" fillId="0" borderId="0" xfId="5" applyFont="1" applyFill="1" applyBorder="1" applyAlignment="1" applyProtection="1">
      <alignment horizontal="right" vertical="center" indent="1"/>
      <protection locked="0"/>
    </xf>
    <xf numFmtId="0" fontId="41" fillId="0" borderId="24" xfId="5" applyFont="1" applyFill="1" applyBorder="1" applyAlignment="1" applyProtection="1">
      <alignment horizontal="right" vertical="center"/>
      <protection locked="0"/>
    </xf>
    <xf numFmtId="0" fontId="40" fillId="0" borderId="0" xfId="5" applyFont="1" applyFill="1" applyBorder="1" applyAlignment="1" applyProtection="1">
      <alignment horizontal="left" vertical="center"/>
      <protection locked="0"/>
    </xf>
    <xf numFmtId="0" fontId="40" fillId="0" borderId="0" xfId="5" applyFont="1" applyFill="1" applyBorder="1" applyAlignment="1" applyProtection="1">
      <alignment vertical="center"/>
      <protection locked="0"/>
    </xf>
    <xf numFmtId="10" fontId="40" fillId="0" borderId="0" xfId="7" applyNumberFormat="1" applyFont="1" applyFill="1" applyBorder="1" applyAlignment="1" applyProtection="1">
      <alignment vertical="center"/>
      <protection locked="0"/>
    </xf>
    <xf numFmtId="42" fontId="40" fillId="0" borderId="0" xfId="5" applyNumberFormat="1" applyFont="1" applyFill="1" applyBorder="1" applyAlignment="1" applyProtection="1">
      <alignment vertical="center"/>
      <protection locked="0"/>
    </xf>
    <xf numFmtId="0" fontId="40" fillId="0" borderId="24" xfId="5" applyFont="1" applyFill="1" applyBorder="1" applyAlignment="1" applyProtection="1">
      <alignment horizontal="left" vertical="center"/>
      <protection locked="0"/>
    </xf>
    <xf numFmtId="11" fontId="40" fillId="0" borderId="0" xfId="5" applyNumberFormat="1" applyFont="1" applyFill="1" applyBorder="1" applyAlignment="1" applyProtection="1">
      <alignment vertical="center"/>
      <protection locked="0"/>
    </xf>
    <xf numFmtId="42" fontId="38" fillId="15" borderId="0" xfId="2" applyNumberFormat="1" applyBorder="1" applyAlignment="1" applyProtection="1">
      <alignment vertical="center"/>
      <protection locked="0"/>
    </xf>
    <xf numFmtId="42" fontId="38" fillId="0" borderId="0" xfId="2" applyNumberFormat="1" applyFill="1" applyBorder="1" applyAlignment="1" applyProtection="1">
      <alignment vertical="center"/>
      <protection locked="0"/>
    </xf>
    <xf numFmtId="0" fontId="40" fillId="18" borderId="0" xfId="5" applyFont="1" applyFill="1" applyProtection="1">
      <alignment vertical="center"/>
      <protection locked="0"/>
    </xf>
    <xf numFmtId="9" fontId="40" fillId="0" borderId="0" xfId="5" applyNumberFormat="1" applyFont="1" applyFill="1" applyBorder="1" applyAlignment="1" applyProtection="1">
      <alignment vertical="center"/>
      <protection locked="0"/>
    </xf>
    <xf numFmtId="10" fontId="40" fillId="0" borderId="0" xfId="5" applyNumberFormat="1" applyFont="1" applyFill="1" applyBorder="1" applyAlignment="1" applyProtection="1">
      <alignment vertical="center"/>
      <protection locked="0"/>
    </xf>
    <xf numFmtId="41" fontId="40" fillId="0" borderId="24" xfId="5" applyNumberFormat="1" applyFont="1" applyFill="1" applyBorder="1" applyAlignment="1" applyProtection="1">
      <alignment vertical="center"/>
      <protection locked="0"/>
    </xf>
    <xf numFmtId="41" fontId="40" fillId="0" borderId="0" xfId="5" applyNumberFormat="1" applyFont="1" applyFill="1" applyBorder="1" applyAlignment="1" applyProtection="1">
      <alignment vertical="center"/>
      <protection locked="0"/>
    </xf>
    <xf numFmtId="0" fontId="40" fillId="18" borderId="0" xfId="5" applyFont="1" applyFill="1" applyBorder="1" applyAlignment="1" applyProtection="1">
      <alignment vertical="center"/>
      <protection locked="0"/>
    </xf>
    <xf numFmtId="168" fontId="38" fillId="15" borderId="0" xfId="2" applyNumberFormat="1" applyBorder="1" applyAlignment="1" applyProtection="1">
      <alignment vertical="center"/>
      <protection locked="0"/>
    </xf>
    <xf numFmtId="168" fontId="38" fillId="0" borderId="0" xfId="2" applyNumberFormat="1" applyFill="1" applyBorder="1" applyAlignment="1" applyProtection="1">
      <alignment vertical="center"/>
      <protection locked="0"/>
    </xf>
    <xf numFmtId="0" fontId="19" fillId="18" borderId="0" xfId="5" applyFont="1" applyFill="1" applyBorder="1" applyAlignment="1" applyProtection="1">
      <alignment vertical="center"/>
      <protection locked="0"/>
    </xf>
    <xf numFmtId="2" fontId="38" fillId="15" borderId="0" xfId="2" applyNumberFormat="1" applyBorder="1" applyAlignment="1" applyProtection="1">
      <alignment vertical="center"/>
      <protection locked="0"/>
    </xf>
    <xf numFmtId="0" fontId="19" fillId="0" borderId="0" xfId="5" applyFont="1" applyFill="1" applyBorder="1" applyAlignment="1" applyProtection="1">
      <alignment vertical="center"/>
      <protection locked="0"/>
    </xf>
    <xf numFmtId="2" fontId="38" fillId="0" borderId="0" xfId="2" applyNumberFormat="1" applyFill="1" applyBorder="1" applyAlignment="1" applyProtection="1">
      <alignment vertical="center"/>
      <protection locked="0"/>
    </xf>
    <xf numFmtId="2" fontId="39" fillId="16" borderId="0" xfId="4" applyNumberFormat="1" applyBorder="1" applyAlignment="1" applyProtection="1">
      <alignment vertical="center"/>
      <protection locked="0"/>
    </xf>
    <xf numFmtId="168" fontId="40" fillId="0" borderId="0" xfId="5" applyNumberFormat="1" applyFont="1" applyFill="1" applyBorder="1" applyAlignment="1" applyProtection="1">
      <alignment vertical="center"/>
      <protection locked="0"/>
    </xf>
    <xf numFmtId="0" fontId="40" fillId="0" borderId="0" xfId="5" applyNumberFormat="1" applyFont="1" applyFill="1" applyBorder="1" applyAlignment="1" applyProtection="1">
      <alignment vertical="center"/>
      <protection locked="0"/>
    </xf>
    <xf numFmtId="164" fontId="38" fillId="15" borderId="0" xfId="2" applyNumberFormat="1" applyBorder="1" applyAlignment="1" applyProtection="1">
      <alignment vertical="center"/>
      <protection locked="0"/>
    </xf>
    <xf numFmtId="10" fontId="38" fillId="15" borderId="0" xfId="2" applyNumberFormat="1" applyBorder="1" applyAlignment="1" applyProtection="1">
      <alignment vertical="center"/>
      <protection locked="0"/>
    </xf>
    <xf numFmtId="10" fontId="40" fillId="18" borderId="0" xfId="5" applyNumberFormat="1" applyFont="1" applyFill="1" applyBorder="1" applyAlignment="1" applyProtection="1">
      <alignment vertical="center"/>
      <protection locked="0"/>
    </xf>
    <xf numFmtId="0" fontId="40" fillId="18" borderId="0" xfId="5" applyNumberFormat="1" applyFont="1" applyFill="1" applyBorder="1" applyAlignment="1" applyProtection="1">
      <alignment vertical="center"/>
      <protection locked="0"/>
    </xf>
    <xf numFmtId="0" fontId="42" fillId="0" borderId="0" xfId="5" applyFont="1" applyFill="1" applyBorder="1" applyAlignment="1" applyProtection="1">
      <alignment horizontal="left" vertical="center"/>
      <protection locked="0"/>
    </xf>
    <xf numFmtId="42" fontId="41" fillId="0" borderId="0" xfId="5" applyNumberFormat="1" applyFont="1" applyFill="1" applyBorder="1" applyAlignment="1" applyProtection="1">
      <alignment vertical="center"/>
      <protection locked="0"/>
    </xf>
    <xf numFmtId="0" fontId="41" fillId="0" borderId="0" xfId="5" applyNumberFormat="1" applyFont="1" applyFill="1" applyBorder="1" applyAlignment="1" applyProtection="1">
      <alignment vertical="center"/>
      <protection locked="0"/>
    </xf>
    <xf numFmtId="14" fontId="40" fillId="0" borderId="0" xfId="5" applyNumberFormat="1" applyFont="1" applyFill="1" applyProtection="1">
      <alignment vertical="center"/>
      <protection locked="0"/>
    </xf>
    <xf numFmtId="166" fontId="40" fillId="0" borderId="0" xfId="7" applyNumberFormat="1" applyFont="1" applyFill="1" applyBorder="1" applyAlignment="1" applyProtection="1">
      <alignment vertical="center"/>
      <protection locked="0"/>
    </xf>
    <xf numFmtId="167" fontId="41" fillId="0" borderId="0" xfId="7" applyNumberFormat="1" applyFont="1" applyFill="1" applyBorder="1" applyAlignment="1" applyProtection="1">
      <alignment horizontal="right" vertical="center"/>
      <protection locked="0"/>
    </xf>
    <xf numFmtId="9" fontId="40" fillId="0" borderId="0" xfId="7" applyFont="1" applyFill="1" applyAlignment="1" applyProtection="1">
      <alignment vertical="center"/>
      <protection locked="0"/>
    </xf>
    <xf numFmtId="9" fontId="41" fillId="0" borderId="0" xfId="7" applyFont="1" applyFill="1" applyBorder="1" applyAlignment="1" applyProtection="1">
      <alignment horizontal="right" vertical="center"/>
      <protection locked="0"/>
    </xf>
    <xf numFmtId="10" fontId="40" fillId="0" borderId="0" xfId="7" applyNumberFormat="1" applyFont="1" applyFill="1" applyAlignment="1" applyProtection="1">
      <alignment vertical="center"/>
      <protection locked="0"/>
    </xf>
    <xf numFmtId="9" fontId="40" fillId="0" borderId="0" xfId="7" applyFont="1" applyFill="1" applyBorder="1" applyAlignment="1" applyProtection="1">
      <alignment vertical="center"/>
      <protection locked="0"/>
    </xf>
    <xf numFmtId="42" fontId="19" fillId="18" borderId="0" xfId="5" applyNumberFormat="1" applyFont="1" applyFill="1" applyAlignment="1" applyProtection="1">
      <alignment horizontal="left" vertical="center"/>
      <protection locked="0"/>
    </xf>
    <xf numFmtId="42" fontId="40" fillId="18" borderId="0" xfId="5" applyNumberFormat="1" applyFont="1" applyFill="1" applyBorder="1" applyAlignment="1" applyProtection="1">
      <alignment horizontal="left" vertical="center"/>
      <protection locked="0"/>
    </xf>
    <xf numFmtId="0" fontId="0" fillId="0" borderId="0" xfId="0" applyFill="1"/>
    <xf numFmtId="10" fontId="38" fillId="0" borderId="0" xfId="2" applyNumberFormat="1" applyFill="1" applyBorder="1" applyAlignment="1" applyProtection="1">
      <alignment vertical="center"/>
      <protection locked="0"/>
    </xf>
    <xf numFmtId="0" fontId="38" fillId="15" borderId="0" xfId="2" applyAlignment="1" applyProtection="1">
      <alignment vertical="center"/>
      <protection locked="0"/>
    </xf>
    <xf numFmtId="42" fontId="40" fillId="18" borderId="0" xfId="5" applyNumberFormat="1" applyFont="1" applyFill="1" applyAlignment="1" applyProtection="1">
      <alignment horizontal="left" vertical="center"/>
      <protection locked="0"/>
    </xf>
    <xf numFmtId="13" fontId="40" fillId="18" borderId="0" xfId="5" applyNumberFormat="1" applyFont="1" applyFill="1" applyBorder="1" applyAlignment="1" applyProtection="1">
      <alignment vertical="center"/>
      <protection locked="0"/>
    </xf>
    <xf numFmtId="13" fontId="30" fillId="17" borderId="16" xfId="0" applyNumberFormat="1" applyFont="1" applyFill="1" applyBorder="1" applyAlignment="1" applyProtection="1">
      <alignment horizontal="right" vertical="center"/>
      <protection locked="0" hidden="1"/>
    </xf>
    <xf numFmtId="0" fontId="19" fillId="0" borderId="0" xfId="0" applyFont="1"/>
    <xf numFmtId="169" fontId="33" fillId="13" borderId="23" xfId="0" applyNumberFormat="1" applyFont="1" applyFill="1" applyBorder="1" applyAlignment="1" applyProtection="1">
      <alignment vertical="center"/>
      <protection locked="0"/>
    </xf>
    <xf numFmtId="42" fontId="19" fillId="9" borderId="25" xfId="0" applyNumberFormat="1" applyFont="1" applyFill="1" applyBorder="1" applyAlignment="1" applyProtection="1">
      <alignment vertical="center"/>
      <protection hidden="1"/>
    </xf>
    <xf numFmtId="42" fontId="19" fillId="9" borderId="26" xfId="0" applyNumberFormat="1" applyFont="1" applyFill="1" applyBorder="1" applyAlignment="1" applyProtection="1">
      <alignment vertical="center"/>
      <protection hidden="1"/>
    </xf>
    <xf numFmtId="42" fontId="40" fillId="18" borderId="0" xfId="5" applyNumberFormat="1" applyFont="1" applyFill="1" applyProtection="1">
      <alignment vertical="center"/>
      <protection locked="0"/>
    </xf>
    <xf numFmtId="14" fontId="40" fillId="0" borderId="0" xfId="5" applyNumberFormat="1" applyFont="1" applyFill="1" applyBorder="1" applyProtection="1">
      <alignment vertical="center"/>
      <protection locked="0"/>
    </xf>
    <xf numFmtId="14" fontId="19" fillId="0" borderId="0" xfId="5" applyNumberFormat="1" applyFont="1" applyFill="1" applyBorder="1" applyAlignment="1" applyProtection="1">
      <alignment horizontal="left" vertical="center"/>
      <protection locked="0"/>
    </xf>
    <xf numFmtId="14" fontId="41" fillId="0" borderId="0" xfId="5" applyNumberFormat="1" applyFont="1" applyFill="1" applyBorder="1" applyAlignment="1" applyProtection="1">
      <alignment horizontal="right" vertical="center"/>
      <protection locked="0"/>
    </xf>
    <xf numFmtId="14" fontId="40" fillId="0" borderId="0" xfId="5" applyNumberFormat="1" applyFont="1" applyFill="1" applyBorder="1" applyAlignment="1" applyProtection="1">
      <alignment vertical="center"/>
      <protection locked="0"/>
    </xf>
    <xf numFmtId="0" fontId="40" fillId="0" borderId="0" xfId="5" applyNumberFormat="1" applyFont="1" applyFill="1" applyProtection="1">
      <alignment vertical="center"/>
      <protection locked="0"/>
    </xf>
    <xf numFmtId="0" fontId="41" fillId="0" borderId="0" xfId="5" applyNumberFormat="1" applyFont="1" applyFill="1" applyBorder="1" applyAlignment="1" applyProtection="1">
      <alignment horizontal="right" vertical="center"/>
      <protection locked="0"/>
    </xf>
    <xf numFmtId="0" fontId="40" fillId="0" borderId="0" xfId="7" applyNumberFormat="1" applyFont="1" applyFill="1" applyBorder="1" applyAlignment="1" applyProtection="1">
      <alignment vertical="center"/>
      <protection locked="0"/>
    </xf>
    <xf numFmtId="0" fontId="0" fillId="0" borderId="0" xfId="0" applyNumberFormat="1" applyFill="1"/>
    <xf numFmtId="0" fontId="38" fillId="15" borderId="0" xfId="2" applyNumberFormat="1" applyAlignment="1" applyProtection="1">
      <alignment vertical="center"/>
      <protection locked="0"/>
    </xf>
    <xf numFmtId="2" fontId="40" fillId="0" borderId="0" xfId="5" applyNumberFormat="1" applyFont="1" applyFill="1" applyBorder="1" applyAlignment="1" applyProtection="1">
      <alignment vertical="center"/>
      <protection locked="0"/>
    </xf>
    <xf numFmtId="2" fontId="40" fillId="18" borderId="0" xfId="5" applyNumberFormat="1" applyFont="1" applyFill="1" applyBorder="1" applyAlignment="1" applyProtection="1">
      <alignment vertical="center"/>
      <protection locked="0"/>
    </xf>
    <xf numFmtId="13" fontId="40" fillId="0" borderId="0" xfId="5" applyNumberFormat="1" applyFont="1" applyFill="1" applyBorder="1" applyAlignment="1" applyProtection="1">
      <alignment vertical="center"/>
      <protection locked="0"/>
    </xf>
    <xf numFmtId="170" fontId="19" fillId="0" borderId="8" xfId="0" applyNumberFormat="1" applyFont="1" applyBorder="1" applyAlignment="1" applyProtection="1">
      <alignment vertical="center"/>
      <protection hidden="1"/>
    </xf>
    <xf numFmtId="42" fontId="19" fillId="0" borderId="13" xfId="0" applyNumberFormat="1" applyFont="1" applyFill="1" applyBorder="1" applyAlignment="1" applyProtection="1">
      <alignment vertical="center"/>
      <protection locked="0" hidden="1"/>
    </xf>
    <xf numFmtId="42" fontId="19" fillId="9" borderId="25" xfId="0" applyNumberFormat="1" applyFont="1" applyFill="1" applyBorder="1" applyAlignment="1" applyProtection="1">
      <alignment vertical="center"/>
      <protection hidden="1"/>
    </xf>
    <xf numFmtId="0" fontId="43" fillId="18" borderId="0" xfId="0" applyNumberFormat="1" applyFont="1" applyFill="1" applyBorder="1" applyAlignment="1" applyProtection="1">
      <alignment horizontal="right" vertical="center" indent="2"/>
      <protection locked="0" hidden="1"/>
    </xf>
    <xf numFmtId="169" fontId="44" fillId="18" borderId="8" xfId="0" applyNumberFormat="1" applyFont="1" applyFill="1" applyBorder="1" applyAlignment="1" applyProtection="1">
      <alignment vertical="center"/>
      <protection locked="0" hidden="1"/>
    </xf>
    <xf numFmtId="169" fontId="33" fillId="13" borderId="16" xfId="0" applyNumberFormat="1" applyFont="1" applyFill="1" applyBorder="1" applyAlignment="1" applyProtection="1">
      <alignment vertical="center"/>
      <protection locked="0"/>
    </xf>
    <xf numFmtId="42" fontId="19" fillId="0" borderId="0" xfId="0" applyNumberFormat="1" applyFont="1" applyBorder="1" applyAlignment="1" applyProtection="1">
      <alignment vertical="center"/>
      <protection hidden="1"/>
    </xf>
    <xf numFmtId="0" fontId="45" fillId="0" borderId="7" xfId="0" applyFont="1" applyBorder="1" applyAlignment="1" applyProtection="1">
      <alignment horizontal="right" vertical="center" indent="2"/>
      <protection hidden="1"/>
    </xf>
    <xf numFmtId="171" fontId="45" fillId="0" borderId="8" xfId="0" applyNumberFormat="1" applyFont="1" applyBorder="1" applyAlignment="1" applyProtection="1">
      <alignment horizontal="left" vertical="center"/>
      <protection hidden="1"/>
    </xf>
    <xf numFmtId="171" fontId="45" fillId="0" borderId="0" xfId="0" applyNumberFormat="1" applyFont="1" applyBorder="1" applyAlignment="1" applyProtection="1">
      <alignment horizontal="center" vertical="center"/>
      <protection hidden="1"/>
    </xf>
    <xf numFmtId="10" fontId="45" fillId="0" borderId="0" xfId="0" applyNumberFormat="1" applyFont="1" applyBorder="1" applyAlignment="1" applyProtection="1">
      <alignment horizontal="center" vertical="center"/>
      <protection hidden="1"/>
    </xf>
    <xf numFmtId="10" fontId="45" fillId="0" borderId="7" xfId="0" applyNumberFormat="1" applyFont="1" applyBorder="1" applyAlignment="1" applyProtection="1">
      <alignment horizontal="right" vertical="center" indent="2"/>
      <protection hidden="1"/>
    </xf>
    <xf numFmtId="171" fontId="45" fillId="8" borderId="0" xfId="0" applyNumberFormat="1" applyFont="1" applyFill="1" applyBorder="1" applyAlignment="1" applyProtection="1">
      <alignment horizontal="center" vertical="center"/>
      <protection hidden="1"/>
    </xf>
    <xf numFmtId="171" fontId="45" fillId="0" borderId="13" xfId="0" applyNumberFormat="1" applyFont="1" applyFill="1" applyBorder="1" applyAlignment="1" applyProtection="1">
      <alignment horizontal="center" vertical="center"/>
      <protection hidden="1"/>
    </xf>
    <xf numFmtId="171" fontId="45" fillId="0" borderId="8" xfId="0" applyNumberFormat="1" applyFont="1" applyFill="1" applyBorder="1" applyAlignment="1" applyProtection="1">
      <alignment horizontal="left" vertical="center"/>
      <protection hidden="1"/>
    </xf>
    <xf numFmtId="172" fontId="45" fillId="0" borderId="0" xfId="0" applyNumberFormat="1" applyFont="1" applyBorder="1" applyAlignment="1" applyProtection="1">
      <alignment horizontal="center" vertical="center"/>
      <protection hidden="1"/>
    </xf>
    <xf numFmtId="0" fontId="45" fillId="0" borderId="7" xfId="0" applyFont="1" applyBorder="1" applyAlignment="1" applyProtection="1">
      <alignment horizontal="right" vertical="center"/>
      <protection hidden="1"/>
    </xf>
    <xf numFmtId="172" fontId="46" fillId="0" borderId="8" xfId="0" applyNumberFormat="1" applyFont="1" applyBorder="1" applyAlignment="1" applyProtection="1">
      <alignment horizontal="left" vertical="center"/>
      <protection hidden="1"/>
    </xf>
    <xf numFmtId="172" fontId="46" fillId="0" borderId="0" xfId="0" applyNumberFormat="1" applyFont="1" applyBorder="1" applyAlignment="1" applyProtection="1">
      <alignment horizontal="center" vertical="center"/>
      <protection hidden="1"/>
    </xf>
    <xf numFmtId="172" fontId="45" fillId="0" borderId="8" xfId="0" applyNumberFormat="1" applyFont="1" applyBorder="1" applyAlignment="1" applyProtection="1">
      <alignment horizontal="left" vertical="center"/>
      <protection hidden="1"/>
    </xf>
    <xf numFmtId="10" fontId="45" fillId="0" borderId="7" xfId="0" applyNumberFormat="1" applyFont="1" applyBorder="1" applyAlignment="1" applyProtection="1">
      <alignment horizontal="right" vertical="center"/>
      <protection hidden="1"/>
    </xf>
    <xf numFmtId="11" fontId="40" fillId="0" borderId="0" xfId="5" applyNumberFormat="1" applyFont="1" applyFill="1" applyBorder="1" applyProtection="1">
      <alignment vertical="center"/>
      <protection locked="0"/>
    </xf>
    <xf numFmtId="10" fontId="41" fillId="0" borderId="0" xfId="6" applyNumberFormat="1" applyFont="1" applyFill="1" applyBorder="1" applyAlignment="1" applyProtection="1">
      <alignment horizontal="right" vertical="center" indent="1"/>
      <protection locked="0"/>
    </xf>
    <xf numFmtId="10" fontId="40" fillId="0" borderId="0" xfId="6" applyNumberFormat="1"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hidden="1"/>
    </xf>
    <xf numFmtId="10" fontId="40" fillId="18" borderId="0" xfId="5" applyNumberFormat="1" applyFont="1" applyFill="1" applyProtection="1">
      <alignment vertical="center"/>
      <protection locked="0"/>
    </xf>
    <xf numFmtId="10" fontId="19" fillId="0" borderId="0" xfId="0" applyNumberFormat="1" applyFont="1"/>
    <xf numFmtId="10" fontId="40" fillId="18" borderId="0" xfId="7" applyNumberFormat="1" applyFont="1" applyFill="1" applyBorder="1" applyAlignment="1" applyProtection="1">
      <alignment vertical="center"/>
      <protection locked="0"/>
    </xf>
    <xf numFmtId="167" fontId="41" fillId="18" borderId="0" xfId="7" applyNumberFormat="1" applyFont="1" applyFill="1" applyBorder="1" applyAlignment="1" applyProtection="1">
      <alignment horizontal="right" vertical="center"/>
      <protection locked="0"/>
    </xf>
    <xf numFmtId="173" fontId="40" fillId="0" borderId="0" xfId="5" applyNumberFormat="1" applyFont="1" applyFill="1" applyBorder="1" applyAlignment="1" applyProtection="1">
      <alignment vertical="center"/>
      <protection locked="0"/>
    </xf>
    <xf numFmtId="14" fontId="40" fillId="0" borderId="0" xfId="5" applyNumberFormat="1" applyFont="1" applyFill="1" applyBorder="1" applyAlignment="1" applyProtection="1">
      <alignment horizontal="left" vertical="center"/>
      <protection locked="0"/>
    </xf>
    <xf numFmtId="0" fontId="41" fillId="0" borderId="0" xfId="5" applyFont="1" applyProtection="1">
      <alignment vertical="center"/>
      <protection locked="0"/>
    </xf>
    <xf numFmtId="1" fontId="40" fillId="0" borderId="0" xfId="5" applyNumberFormat="1" applyFont="1" applyProtection="1">
      <alignment vertical="center"/>
      <protection locked="0"/>
    </xf>
    <xf numFmtId="0" fontId="40" fillId="0" borderId="0" xfId="5" applyFont="1" applyProtection="1">
      <alignment vertical="center"/>
      <protection locked="0"/>
    </xf>
    <xf numFmtId="14" fontId="40" fillId="0" borderId="0" xfId="5" applyNumberFormat="1" applyFont="1" applyAlignment="1" applyProtection="1">
      <alignment horizontal="right" vertical="center"/>
      <protection locked="0"/>
    </xf>
    <xf numFmtId="14" fontId="40" fillId="0" borderId="0" xfId="5" applyNumberFormat="1" applyFont="1" applyProtection="1">
      <alignment vertical="center"/>
      <protection locked="0"/>
    </xf>
    <xf numFmtId="10" fontId="40" fillId="0" borderId="0" xfId="5" applyNumberFormat="1" applyFont="1" applyProtection="1">
      <alignment vertical="center"/>
      <protection locked="0"/>
    </xf>
    <xf numFmtId="10" fontId="41" fillId="0" borderId="0" xfId="5" applyNumberFormat="1" applyFont="1" applyProtection="1">
      <alignment vertical="center"/>
      <protection locked="0"/>
    </xf>
    <xf numFmtId="9" fontId="40" fillId="0" borderId="0" xfId="5" applyNumberFormat="1" applyFont="1" applyProtection="1">
      <alignment vertical="center"/>
      <protection locked="0"/>
    </xf>
    <xf numFmtId="166" fontId="40" fillId="0" borderId="0" xfId="5" applyNumberFormat="1" applyFont="1" applyProtection="1">
      <alignment vertical="center"/>
      <protection locked="0"/>
    </xf>
    <xf numFmtId="164" fontId="41" fillId="0" borderId="0" xfId="5" applyNumberFormat="1" applyFont="1" applyAlignment="1" applyProtection="1">
      <alignment horizontal="right" vertical="center"/>
      <protection locked="0"/>
    </xf>
    <xf numFmtId="164" fontId="41" fillId="0" borderId="0" xfId="5" applyNumberFormat="1" applyFont="1" applyAlignment="1" applyProtection="1">
      <alignment horizontal="right" vertical="center" indent="1"/>
      <protection locked="0"/>
    </xf>
    <xf numFmtId="167" fontId="40" fillId="0" borderId="0" xfId="5" applyNumberFormat="1" applyFont="1" applyProtection="1">
      <alignment vertical="center"/>
      <protection locked="0"/>
    </xf>
    <xf numFmtId="167" fontId="40" fillId="0" borderId="0" xfId="5" applyNumberFormat="1" applyFont="1" applyAlignment="1" applyProtection="1">
      <alignment horizontal="right" vertical="center"/>
      <protection locked="0"/>
    </xf>
    <xf numFmtId="164" fontId="40" fillId="0" borderId="0" xfId="5" applyNumberFormat="1" applyFont="1" applyProtection="1">
      <alignment vertical="center"/>
      <protection locked="0"/>
    </xf>
    <xf numFmtId="164" fontId="40" fillId="0" borderId="0" xfId="5" applyNumberFormat="1" applyFont="1" applyAlignment="1" applyProtection="1">
      <alignment horizontal="right" vertical="center"/>
      <protection locked="0"/>
    </xf>
    <xf numFmtId="41" fontId="40" fillId="0" borderId="0" xfId="5" applyNumberFormat="1" applyFont="1" applyProtection="1">
      <alignment vertical="center"/>
      <protection locked="0"/>
    </xf>
    <xf numFmtId="42" fontId="40" fillId="0" borderId="0" xfId="5" applyNumberFormat="1" applyFont="1" applyProtection="1">
      <alignment vertical="center"/>
      <protection locked="0"/>
    </xf>
    <xf numFmtId="164" fontId="41" fillId="0" borderId="0" xfId="5" applyNumberFormat="1" applyFont="1" applyProtection="1">
      <alignment vertical="center"/>
      <protection locked="0"/>
    </xf>
    <xf numFmtId="164" fontId="40" fillId="18" borderId="0" xfId="5" applyNumberFormat="1" applyFont="1" applyFill="1" applyProtection="1">
      <alignment vertical="center"/>
      <protection locked="0"/>
    </xf>
    <xf numFmtId="0" fontId="41" fillId="0" borderId="0" xfId="5" applyFont="1" applyAlignment="1" applyProtection="1">
      <alignment horizontal="right" vertical="center"/>
      <protection locked="0"/>
    </xf>
    <xf numFmtId="0" fontId="41" fillId="0" borderId="0" xfId="5" applyFont="1" applyAlignment="1" applyProtection="1">
      <alignment horizontal="right" vertical="center" indent="1"/>
      <protection locked="0"/>
    </xf>
    <xf numFmtId="42" fontId="41" fillId="0" borderId="0" xfId="5" applyNumberFormat="1" applyFont="1" applyProtection="1">
      <alignment vertical="center"/>
      <protection locked="0"/>
    </xf>
    <xf numFmtId="0" fontId="40" fillId="0" borderId="0" xfId="5" applyFont="1" applyAlignment="1" applyProtection="1">
      <alignment horizontal="right" vertical="center"/>
      <protection locked="0"/>
    </xf>
    <xf numFmtId="0" fontId="40" fillId="0" borderId="0" xfId="5" applyFont="1" applyAlignment="1" applyProtection="1">
      <alignment horizontal="right" vertical="center" indent="1"/>
      <protection locked="0"/>
    </xf>
    <xf numFmtId="1" fontId="40" fillId="0" borderId="0" xfId="5" applyNumberFormat="1" applyFont="1" applyAlignment="1" applyProtection="1">
      <alignment horizontal="right" vertical="center"/>
      <protection locked="0"/>
    </xf>
    <xf numFmtId="1" fontId="40" fillId="18" borderId="0" xfId="5" applyNumberFormat="1" applyFont="1" applyFill="1" applyProtection="1">
      <alignment vertical="center"/>
      <protection locked="0"/>
    </xf>
    <xf numFmtId="9" fontId="40" fillId="18" borderId="0" xfId="5" applyNumberFormat="1" applyFont="1" applyFill="1" applyProtection="1">
      <alignment vertical="center"/>
      <protection locked="0"/>
    </xf>
    <xf numFmtId="3" fontId="40" fillId="0" borderId="0" xfId="5" applyNumberFormat="1" applyFont="1" applyProtection="1">
      <alignment vertical="center"/>
      <protection locked="0"/>
    </xf>
    <xf numFmtId="3" fontId="40" fillId="18" borderId="0" xfId="5" applyNumberFormat="1" applyFont="1" applyFill="1" applyProtection="1">
      <alignment vertical="center"/>
      <protection locked="0"/>
    </xf>
    <xf numFmtId="10" fontId="40" fillId="0" borderId="0" xfId="5" applyNumberFormat="1" applyFont="1" applyAlignment="1" applyProtection="1">
      <alignment horizontal="right" vertical="center"/>
      <protection locked="0"/>
    </xf>
    <xf numFmtId="0" fontId="41" fillId="0" borderId="0" xfId="5" applyFont="1" applyAlignment="1" applyProtection="1">
      <alignment horizontal="left" vertical="center"/>
      <protection locked="0"/>
    </xf>
    <xf numFmtId="0" fontId="40" fillId="0" borderId="0" xfId="5" applyFont="1" applyAlignment="1" applyProtection="1">
      <alignment horizontal="left" vertical="center"/>
      <protection locked="0"/>
    </xf>
    <xf numFmtId="164" fontId="41" fillId="18" borderId="0" xfId="5" applyNumberFormat="1" applyFont="1" applyFill="1" applyAlignment="1" applyProtection="1">
      <alignment horizontal="right" vertical="center"/>
      <protection locked="0"/>
    </xf>
    <xf numFmtId="167" fontId="46" fillId="0" borderId="0" xfId="6" applyNumberFormat="1" applyFont="1" applyBorder="1" applyAlignment="1" applyProtection="1">
      <alignment horizontal="center" vertical="center"/>
      <protection hidden="1"/>
    </xf>
    <xf numFmtId="167" fontId="45" fillId="0" borderId="0" xfId="6" applyNumberFormat="1" applyFont="1" applyBorder="1" applyAlignment="1" applyProtection="1">
      <alignment horizontal="center" vertical="center"/>
      <protection hidden="1"/>
    </xf>
    <xf numFmtId="0" fontId="4" fillId="4" borderId="0" xfId="5" applyFont="1" applyFill="1">
      <alignment vertical="center"/>
    </xf>
    <xf numFmtId="0" fontId="36" fillId="3" borderId="0" xfId="5" applyFill="1">
      <alignment vertical="center"/>
    </xf>
    <xf numFmtId="0" fontId="36" fillId="0" borderId="0" xfId="5">
      <alignment vertical="center"/>
    </xf>
    <xf numFmtId="0" fontId="5" fillId="0" borderId="0" xfId="5" applyFont="1" applyAlignment="1">
      <alignment horizontal="left" vertical="top" indent="3"/>
    </xf>
    <xf numFmtId="0" fontId="5" fillId="0" borderId="0" xfId="5" applyFont="1" applyAlignment="1">
      <alignment vertical="top"/>
    </xf>
    <xf numFmtId="0" fontId="6" fillId="0" borderId="0" xfId="5" applyFont="1" applyAlignment="1">
      <alignment horizontal="left" vertical="top" indent="3"/>
    </xf>
    <xf numFmtId="0" fontId="6" fillId="0" borderId="0" xfId="5" applyFont="1" applyAlignment="1">
      <alignment vertical="top"/>
    </xf>
    <xf numFmtId="0" fontId="7" fillId="0" borderId="0" xfId="5" applyFont="1" applyAlignment="1">
      <alignment vertical="top"/>
    </xf>
    <xf numFmtId="0" fontId="36" fillId="2" borderId="0" xfId="5" applyFill="1">
      <alignment vertical="center"/>
    </xf>
    <xf numFmtId="0" fontId="8" fillId="2" borderId="0" xfId="5" applyFont="1" applyFill="1" applyAlignment="1">
      <alignment horizontal="left" vertical="center" indent="1"/>
    </xf>
    <xf numFmtId="0" fontId="17" fillId="0" borderId="0" xfId="5" applyFont="1">
      <alignment vertical="center"/>
    </xf>
    <xf numFmtId="0" fontId="49" fillId="0" borderId="0" xfId="0" applyFont="1" applyFill="1" applyBorder="1" applyAlignment="1">
      <alignment horizontal="right" vertical="center"/>
    </xf>
    <xf numFmtId="0" fontId="10" fillId="11" borderId="0" xfId="3" applyFont="1" applyFill="1" applyBorder="1" applyAlignment="1" applyProtection="1">
      <alignment horizontal="left" vertical="center" indent="1"/>
    </xf>
    <xf numFmtId="0" fontId="13" fillId="14" borderId="0" xfId="5" applyFont="1" applyFill="1" applyAlignment="1">
      <alignment horizontal="left" vertical="center" indent="1"/>
    </xf>
    <xf numFmtId="0" fontId="15" fillId="2" borderId="0" xfId="3" applyFont="1" applyFill="1" applyBorder="1" applyAlignment="1" applyProtection="1">
      <alignment horizontal="left" vertical="center" wrapText="1" indent="1"/>
    </xf>
    <xf numFmtId="0" fontId="13" fillId="14" borderId="0" xfId="3" applyFont="1" applyFill="1" applyBorder="1" applyAlignment="1" applyProtection="1">
      <alignment horizontal="left" vertical="center" indent="1"/>
    </xf>
    <xf numFmtId="3" fontId="20" fillId="0" borderId="0" xfId="0" applyNumberFormat="1" applyFont="1" applyFill="1" applyBorder="1" applyAlignment="1" applyProtection="1">
      <alignment horizontal="left" vertical="center" indent="2"/>
      <protection hidden="1"/>
    </xf>
  </cellXfs>
  <cellStyles count="8">
    <cellStyle name="Gevolgde hyperlink" xfId="1" builtinId="9"/>
    <cellStyle name="Goed" xfId="2" builtinId="26"/>
    <cellStyle name="Hyperlink" xfId="3" builtinId="8"/>
    <cellStyle name="Neutraal" xfId="4" builtinId="28"/>
    <cellStyle name="Normal 2" xfId="5" xr:uid="{00000000-0005-0000-0000-000005000000}"/>
    <cellStyle name="Percent 2" xfId="7" xr:uid="{00000000-0005-0000-0000-000007000000}"/>
    <cellStyle name="Procent" xfId="6" builtinId="5"/>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FFFFFF"/>
      <rgbColor rgb="00B41919"/>
      <rgbColor rgb="00010000"/>
      <rgbColor rgb="009B9B95"/>
      <rgbColor rgb="0000FFFF"/>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EB0505"/>
      <rgbColor rgb="00EAEAEA"/>
      <rgbColor rgb="00010000"/>
      <rgbColor rgb="00010000"/>
      <rgbColor rgb="00FFFF00"/>
      <rgbColor rgb="0000FF00"/>
      <rgbColor rgb="0000CCFF"/>
      <rgbColor rgb="00CDCDCD"/>
      <rgbColor rgb="00010000"/>
      <rgbColor rgb="00969696"/>
      <rgbColor rgb="00010000"/>
      <rgbColor rgb="00010000"/>
      <rgbColor rgb="00010000"/>
      <rgbColor rgb="00000000"/>
      <rgbColor rgb="00E6E6E6"/>
      <rgbColor rgb="00010000"/>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Calc 1a'!$B$37"/>
</file>

<file path=xl/ctrlProps/ctrlProp2.xml><?xml version="1.0" encoding="utf-8"?>
<formControlPr xmlns="http://schemas.microsoft.com/office/spreadsheetml/2009/9/main" objectType="CheckBox" fmlaLink="'Calc 2b'!$B$37"/>
</file>

<file path=xl/ctrlProps/ctrlProp3.xml><?xml version="1.0" encoding="utf-8"?>
<formControlPr xmlns="http://schemas.microsoft.com/office/spreadsheetml/2009/9/main" objectType="CheckBox" fmlaLink="'Calc 2a'!$B$37"/>
</file>

<file path=xl/ctrlProps/ctrlProp4.xml><?xml version="1.0" encoding="utf-8"?>
<formControlPr xmlns="http://schemas.microsoft.com/office/spreadsheetml/2009/9/main" objectType="CheckBox" fmlaLink="'Calc 2a'!$A$50"/>
</file>

<file path=xl/ctrlProps/ctrlProp5.xml><?xml version="1.0" encoding="utf-8"?>
<formControlPr xmlns="http://schemas.microsoft.com/office/spreadsheetml/2009/9/main" objectType="CheckBox" fmlaLink="'Calc 2b'!$A$50"/>
</file>

<file path=xl/ctrlProps/ctrlProp6.xml><?xml version="1.0" encoding="utf-8"?>
<formControlPr xmlns="http://schemas.microsoft.com/office/spreadsheetml/2009/9/main" objectType="CheckBox" checked="Checked" fmlaLink="'Calc 1a'!$A$5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2" name="Rectangle 1" descr="50%">
          <a:extLst>
            <a:ext uri="{FF2B5EF4-FFF2-40B4-BE49-F238E27FC236}">
              <a16:creationId xmlns:a16="http://schemas.microsoft.com/office/drawing/2014/main" id="{00000000-0008-0000-0000-0000020000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20</xdr:row>
      <xdr:rowOff>0</xdr:rowOff>
    </xdr:from>
    <xdr:to>
      <xdr:col>18</xdr:col>
      <xdr:colOff>0</xdr:colOff>
      <xdr:row>24</xdr:row>
      <xdr:rowOff>0</xdr:rowOff>
    </xdr:to>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561975" y="6229350"/>
          <a:ext cx="6477000" cy="990600"/>
          <a:chOff x="878" y="692"/>
          <a:chExt cx="40" cy="52"/>
        </a:xfrm>
      </xdr:grpSpPr>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5</xdr:row>
      <xdr:rowOff>246628</xdr:rowOff>
    </xdr:from>
    <xdr:to>
      <xdr:col>18</xdr:col>
      <xdr:colOff>0</xdr:colOff>
      <xdr:row>11</xdr:row>
      <xdr:rowOff>127566</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561295" y="2755445"/>
          <a:ext cx="6497410" cy="1360715"/>
        </a:xfrm>
        <a:prstGeom prst="rect">
          <a:avLst/>
        </a:prstGeom>
        <a:noFill/>
        <a:ln>
          <a:noFill/>
        </a:ln>
        <a:effectLst>
          <a:prstShdw prst="shdw17" dist="17961" dir="2700000">
            <a:srgbClr xmlns:mc="http://schemas.openxmlformats.org/markup-compatibility/2006" xmlns:a14="http://schemas.microsoft.com/office/drawing/2010/main" val="999999"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FFFFFF"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nl-NL" sz="1200" b="0" i="0" u="none" strike="noStrike" baseline="0">
              <a:solidFill>
                <a:srgbClr val="000000"/>
              </a:solidFill>
              <a:latin typeface="Tahoma"/>
              <a:cs typeface="Tahoma"/>
            </a:rPr>
            <a:t>Veel ondernemers vragen zich af of hun rechtsvorm fiscaal nog wel de juiste is.</a:t>
          </a:r>
        </a:p>
        <a:p>
          <a:pPr algn="l" rtl="0">
            <a:defRPr sz="1000"/>
          </a:pPr>
          <a:endParaRPr lang="nl-NL" sz="1200" b="0" i="0" u="none" strike="noStrike" baseline="0">
            <a:solidFill>
              <a:srgbClr val="000000"/>
            </a:solidFill>
            <a:latin typeface="Tahoma"/>
            <a:cs typeface="Tahoma"/>
          </a:endParaRPr>
        </a:p>
        <a:p>
          <a:pPr algn="l" rtl="0">
            <a:defRPr sz="1000"/>
          </a:pPr>
          <a:r>
            <a:rPr lang="nl-NL" sz="1200" b="0" i="0" u="none" strike="noStrike" baseline="0">
              <a:solidFill>
                <a:srgbClr val="000000"/>
              </a:solidFill>
              <a:latin typeface="Tahoma"/>
              <a:cs typeface="Tahoma"/>
            </a:rPr>
            <a:t>Welke belastingdruk hoort bij welke rechtsvorm?</a:t>
          </a:r>
        </a:p>
        <a:p>
          <a:pPr algn="l" rtl="0">
            <a:defRPr sz="1000"/>
          </a:pPr>
          <a:r>
            <a:rPr lang="nl-NL" sz="1200" b="0" i="0" u="none" strike="noStrike" baseline="0">
              <a:solidFill>
                <a:srgbClr val="000000"/>
              </a:solidFill>
              <a:latin typeface="Tahoma"/>
              <a:cs typeface="Tahoma"/>
            </a:rPr>
            <a:t>- Eenmanszaak</a:t>
          </a:r>
        </a:p>
        <a:p>
          <a:pPr algn="l" rtl="0">
            <a:defRPr sz="1000"/>
          </a:pPr>
          <a:r>
            <a:rPr lang="nl-NL" sz="1200" b="0" i="0" u="none" strike="noStrike" baseline="0">
              <a:solidFill>
                <a:srgbClr val="000000"/>
              </a:solidFill>
              <a:latin typeface="Tahoma"/>
              <a:cs typeface="Tahoma"/>
            </a:rPr>
            <a:t>- Samenwerkingsverband (vof, maatschap, etc.)</a:t>
          </a:r>
        </a:p>
        <a:p>
          <a:pPr algn="l" rtl="0">
            <a:defRPr sz="1000"/>
          </a:pPr>
          <a:r>
            <a:rPr lang="nl-NL" sz="1200" b="0" i="0" u="none" strike="noStrike" baseline="0">
              <a:solidFill>
                <a:srgbClr val="000000"/>
              </a:solidFill>
              <a:latin typeface="Tahoma"/>
              <a:cs typeface="Tahoma"/>
            </a:rPr>
            <a:t>- BV</a:t>
          </a:r>
        </a:p>
      </xdr:txBody>
    </xdr:sp>
    <xdr:clientData/>
  </xdr:twoCellAnchor>
  <xdr:twoCellAnchor>
    <xdr:from>
      <xdr:col>15</xdr:col>
      <xdr:colOff>0</xdr:colOff>
      <xdr:row>17</xdr:row>
      <xdr:rowOff>0</xdr:rowOff>
    </xdr:from>
    <xdr:to>
      <xdr:col>17</xdr:col>
      <xdr:colOff>0</xdr:colOff>
      <xdr:row>18</xdr:row>
      <xdr:rowOff>0</xdr:rowOff>
    </xdr:to>
    <xdr:grpSp>
      <xdr:nvGrpSpPr>
        <xdr:cNvPr id="9" name="Group 9">
          <a:extLst>
            <a:ext uri="{FF2B5EF4-FFF2-40B4-BE49-F238E27FC236}">
              <a16:creationId xmlns:a16="http://schemas.microsoft.com/office/drawing/2014/main" id="{00000000-0008-0000-0000-000009000000}"/>
            </a:ext>
          </a:extLst>
        </xdr:cNvPr>
        <xdr:cNvGrpSpPr>
          <a:grpSpLocks/>
        </xdr:cNvGrpSpPr>
      </xdr:nvGrpSpPr>
      <xdr:grpSpPr bwMode="auto">
        <a:xfrm>
          <a:off x="5514975" y="5486400"/>
          <a:ext cx="971550" cy="247650"/>
          <a:chOff x="878" y="692"/>
          <a:chExt cx="40" cy="52"/>
        </a:xfrm>
      </xdr:grpSpPr>
      <xdr:sp macro="" textlink="">
        <xdr:nvSpPr>
          <xdr:cNvPr id="10" name="Line 10">
            <a:extLst>
              <a:ext uri="{FF2B5EF4-FFF2-40B4-BE49-F238E27FC236}">
                <a16:creationId xmlns:a16="http://schemas.microsoft.com/office/drawing/2014/main" id="{00000000-0008-0000-0000-00000A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00000000-0008-0000-0000-00000B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00000000-0008-0000-0000-00000C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00000000-0008-0000-0000-00000D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14" name="Group 14">
          <a:extLst>
            <a:ext uri="{FF2B5EF4-FFF2-40B4-BE49-F238E27FC236}">
              <a16:creationId xmlns:a16="http://schemas.microsoft.com/office/drawing/2014/main" id="{00000000-0008-0000-0000-00000E000000}"/>
            </a:ext>
          </a:extLst>
        </xdr:cNvPr>
        <xdr:cNvGrpSpPr>
          <a:grpSpLocks/>
        </xdr:cNvGrpSpPr>
      </xdr:nvGrpSpPr>
      <xdr:grpSpPr bwMode="auto">
        <a:xfrm>
          <a:off x="5514975" y="6724650"/>
          <a:ext cx="971550" cy="247650"/>
          <a:chOff x="878" y="692"/>
          <a:chExt cx="40" cy="52"/>
        </a:xfrm>
      </xdr:grpSpPr>
      <xdr:sp macro="" textlink="">
        <xdr:nvSpPr>
          <xdr:cNvPr id="15" name="Line 15">
            <a:extLst>
              <a:ext uri="{FF2B5EF4-FFF2-40B4-BE49-F238E27FC236}">
                <a16:creationId xmlns:a16="http://schemas.microsoft.com/office/drawing/2014/main" id="{00000000-0008-0000-0000-00000F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00000000-0008-0000-0000-000010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00000000-0008-0000-0000-000011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00000000-0008-0000-0000-000012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19" name="Group 19">
          <a:extLst>
            <a:ext uri="{FF2B5EF4-FFF2-40B4-BE49-F238E27FC236}">
              <a16:creationId xmlns:a16="http://schemas.microsoft.com/office/drawing/2014/main" id="{00000000-0008-0000-0000-000013000000}"/>
            </a:ext>
          </a:extLst>
        </xdr:cNvPr>
        <xdr:cNvGrpSpPr>
          <a:grpSpLocks/>
        </xdr:cNvGrpSpPr>
      </xdr:nvGrpSpPr>
      <xdr:grpSpPr bwMode="auto">
        <a:xfrm>
          <a:off x="5514975" y="6477000"/>
          <a:ext cx="971550" cy="247650"/>
          <a:chOff x="878" y="692"/>
          <a:chExt cx="40" cy="52"/>
        </a:xfrm>
      </xdr:grpSpPr>
      <xdr:sp macro="" textlink="">
        <xdr:nvSpPr>
          <xdr:cNvPr id="20" name="Line 20">
            <a:extLst>
              <a:ext uri="{FF2B5EF4-FFF2-40B4-BE49-F238E27FC236}">
                <a16:creationId xmlns:a16="http://schemas.microsoft.com/office/drawing/2014/main" id="{00000000-0008-0000-0000-000014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00000000-0008-0000-0000-000015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2" name="Line 22">
            <a:extLst>
              <a:ext uri="{FF2B5EF4-FFF2-40B4-BE49-F238E27FC236}">
                <a16:creationId xmlns:a16="http://schemas.microsoft.com/office/drawing/2014/main" id="{00000000-0008-0000-0000-000016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oneCellAnchor>
    <xdr:from>
      <xdr:col>2</xdr:col>
      <xdr:colOff>9525</xdr:colOff>
      <xdr:row>12</xdr:row>
      <xdr:rowOff>0</xdr:rowOff>
    </xdr:from>
    <xdr:ext cx="155364" cy="240659"/>
    <xdr:sp macro="" textlink="">
      <xdr:nvSpPr>
        <xdr:cNvPr id="24" name="Text Box 24">
          <a:extLst>
            <a:ext uri="{FF2B5EF4-FFF2-40B4-BE49-F238E27FC236}">
              <a16:creationId xmlns:a16="http://schemas.microsoft.com/office/drawing/2014/main" id="{00000000-0008-0000-0000-000018000000}"/>
            </a:ext>
          </a:extLst>
        </xdr:cNvPr>
        <xdr:cNvSpPr txBox="1">
          <a:spLocks noChangeArrowheads="1"/>
        </xdr:cNvSpPr>
      </xdr:nvSpPr>
      <xdr:spPr bwMode="auto">
        <a:xfrm>
          <a:off x="571500" y="4248150"/>
          <a:ext cx="155364" cy="240659"/>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NL" sz="1200" b="0" i="0" u="none" strike="noStrike" baseline="0">
              <a:solidFill>
                <a:srgbClr val="FFFFFF"/>
              </a:solidFill>
              <a:latin typeface="Wingdings 3"/>
            </a:rPr>
            <a:t>}</a:t>
          </a:r>
        </a:p>
      </xdr:txBody>
    </xdr:sp>
    <xdr:clientData/>
  </xdr:oneCellAnchor>
  <xdr:oneCellAnchor>
    <xdr:from>
      <xdr:col>2</xdr:col>
      <xdr:colOff>9525</xdr:colOff>
      <xdr:row>5</xdr:row>
      <xdr:rowOff>0</xdr:rowOff>
    </xdr:from>
    <xdr:ext cx="155364" cy="240659"/>
    <xdr:sp macro="" textlink="">
      <xdr:nvSpPr>
        <xdr:cNvPr id="25" name="Text Box 25">
          <a:extLst>
            <a:ext uri="{FF2B5EF4-FFF2-40B4-BE49-F238E27FC236}">
              <a16:creationId xmlns:a16="http://schemas.microsoft.com/office/drawing/2014/main" id="{00000000-0008-0000-0000-000019000000}"/>
            </a:ext>
          </a:extLst>
        </xdr:cNvPr>
        <xdr:cNvSpPr txBox="1">
          <a:spLocks noChangeArrowheads="1"/>
        </xdr:cNvSpPr>
      </xdr:nvSpPr>
      <xdr:spPr bwMode="auto">
        <a:xfrm>
          <a:off x="571500" y="2514600"/>
          <a:ext cx="155364" cy="240659"/>
        </a:xfrm>
        <a:prstGeom prst="rect">
          <a:avLst/>
        </a:prstGeom>
        <a:solidFill>
          <a:srgbClr xmlns:mc="http://schemas.openxmlformats.org/markup-compatibility/2006" xmlns:a14="http://schemas.microsoft.com/office/drawing/2010/main" val="5F5F5A" mc:Ignorable="a14" a14:legacySpreadsheetColorIndex="16"/>
        </a:solidFill>
        <a:ln>
          <a:noFill/>
        </a:ln>
        <a:effectLst>
          <a:prstShdw prst="shdw17" dist="17961" dir="2700000">
            <a:srgbClr xmlns:mc="http://schemas.openxmlformats.org/markup-compatibility/2006" xmlns:a14="http://schemas.microsoft.com/office/drawing/2010/main" val="393936" mc:Ignorable="a14" a14:legacySpreadsheetColorIndex="16">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NL" sz="1200" b="0" i="0" u="none" strike="noStrike" baseline="0">
              <a:solidFill>
                <a:srgbClr val="FFFFFF"/>
              </a:solidFill>
              <a:latin typeface="Wingdings 3"/>
            </a:rPr>
            <a:t>}</a:t>
          </a:r>
        </a:p>
      </xdr:txBody>
    </xdr:sp>
    <xdr:clientData/>
  </xdr:oneCellAnchor>
  <xdr:twoCellAnchor>
    <xdr:from>
      <xdr:col>2</xdr:col>
      <xdr:colOff>0</xdr:colOff>
      <xdr:row>13</xdr:row>
      <xdr:rowOff>0</xdr:rowOff>
    </xdr:from>
    <xdr:to>
      <xdr:col>18</xdr:col>
      <xdr:colOff>0</xdr:colOff>
      <xdr:row>16</xdr:row>
      <xdr:rowOff>123825</xdr:rowOff>
    </xdr:to>
    <xdr:sp macro="" textlink="">
      <xdr:nvSpPr>
        <xdr:cNvPr id="26" name="Text Box 26">
          <a:extLst>
            <a:ext uri="{FF2B5EF4-FFF2-40B4-BE49-F238E27FC236}">
              <a16:creationId xmlns:a16="http://schemas.microsoft.com/office/drawing/2014/main" id="{00000000-0008-0000-0000-00001A000000}"/>
            </a:ext>
          </a:extLst>
        </xdr:cNvPr>
        <xdr:cNvSpPr txBox="1">
          <a:spLocks noChangeArrowheads="1"/>
        </xdr:cNvSpPr>
      </xdr:nvSpPr>
      <xdr:spPr bwMode="auto">
        <a:xfrm>
          <a:off x="561975" y="4495800"/>
          <a:ext cx="6477000" cy="866775"/>
        </a:xfrm>
        <a:prstGeom prst="rect">
          <a:avLst/>
        </a:prstGeom>
        <a:noFill/>
        <a:ln>
          <a:noFill/>
        </a:ln>
        <a:effectLst>
          <a:prstShdw prst="shdw17" dist="17961" dir="2700000">
            <a:srgbClr xmlns:mc="http://schemas.openxmlformats.org/markup-compatibility/2006" xmlns:a14="http://schemas.microsoft.com/office/drawing/2010/main" val="999999"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FFFFFF"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nl-NL" sz="1200" b="0" i="0" u="none" strike="noStrike" baseline="0">
              <a:solidFill>
                <a:srgbClr val="000000"/>
              </a:solidFill>
              <a:latin typeface="Tahoma"/>
              <a:cs typeface="Tahoma"/>
            </a:rPr>
            <a:t>Met slechts een paar gegevens waarover iedere ondernemer beschikt, kunt u een goede en cijfermatig onderbouwde indicatie krijgen van welke rechtsvorm het voordeligste is. In de tool zijn de belangrijkste variabelen opgenomen.</a:t>
          </a:r>
        </a:p>
      </xdr:txBody>
    </xdr:sp>
    <xdr:clientData/>
  </xdr:twoCellAnchor>
  <xdr:twoCellAnchor>
    <xdr:from>
      <xdr:col>16</xdr:col>
      <xdr:colOff>495300</xdr:colOff>
      <xdr:row>21</xdr:row>
      <xdr:rowOff>19050</xdr:rowOff>
    </xdr:from>
    <xdr:to>
      <xdr:col>16</xdr:col>
      <xdr:colOff>571500</xdr:colOff>
      <xdr:row>21</xdr:row>
      <xdr:rowOff>95250</xdr:rowOff>
    </xdr:to>
    <xdr:sp macro="" textlink="">
      <xdr:nvSpPr>
        <xdr:cNvPr id="27" name="Rectangle 28">
          <a:extLst>
            <a:ext uri="{FF2B5EF4-FFF2-40B4-BE49-F238E27FC236}">
              <a16:creationId xmlns:a16="http://schemas.microsoft.com/office/drawing/2014/main" id="{00000000-0008-0000-0000-00001B00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28" name="Rectangle 29">
          <a:extLst>
            <a:ext uri="{FF2B5EF4-FFF2-40B4-BE49-F238E27FC236}">
              <a16:creationId xmlns:a16="http://schemas.microsoft.com/office/drawing/2014/main" id="{00000000-0008-0000-0000-00001C00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13</xdr:col>
      <xdr:colOff>227670</xdr:colOff>
      <xdr:row>2</xdr:row>
      <xdr:rowOff>971087</xdr:rowOff>
    </xdr:from>
    <xdr:to>
      <xdr:col>15</xdr:col>
      <xdr:colOff>376353</xdr:colOff>
      <xdr:row>2</xdr:row>
      <xdr:rowOff>1259160</xdr:rowOff>
    </xdr:to>
    <xdr:sp macro="" textlink="">
      <xdr:nvSpPr>
        <xdr:cNvPr id="29" name="Oval 28">
          <a:extLst>
            <a:ext uri="{FF2B5EF4-FFF2-40B4-BE49-F238E27FC236}">
              <a16:creationId xmlns:a16="http://schemas.microsoft.com/office/drawing/2014/main" id="{00000000-0008-0000-0000-00001D000000}"/>
            </a:ext>
          </a:extLst>
        </xdr:cNvPr>
        <xdr:cNvSpPr/>
      </xdr:nvSpPr>
      <xdr:spPr bwMode="auto">
        <a:xfrm>
          <a:off x="4980645" y="1466387"/>
          <a:ext cx="910683" cy="288073"/>
        </a:xfrm>
        <a:prstGeom prst="ellipse">
          <a:avLst/>
        </a:prstGeom>
        <a:solidFill>
          <a:schemeClr val="bg1">
            <a:lumMod val="85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2</xdr:col>
      <xdr:colOff>0</xdr:colOff>
      <xdr:row>2</xdr:row>
      <xdr:rowOff>0</xdr:rowOff>
    </xdr:from>
    <xdr:to>
      <xdr:col>18</xdr:col>
      <xdr:colOff>0</xdr:colOff>
      <xdr:row>3</xdr:row>
      <xdr:rowOff>47625</xdr:rowOff>
    </xdr:to>
    <xdr:grpSp>
      <xdr:nvGrpSpPr>
        <xdr:cNvPr id="30" name="Group 12">
          <a:extLst>
            <a:ext uri="{FF2B5EF4-FFF2-40B4-BE49-F238E27FC236}">
              <a16:creationId xmlns:a16="http://schemas.microsoft.com/office/drawing/2014/main" id="{00000000-0008-0000-0000-00001E000000}"/>
            </a:ext>
          </a:extLst>
        </xdr:cNvPr>
        <xdr:cNvGrpSpPr>
          <a:grpSpLocks/>
        </xdr:cNvGrpSpPr>
      </xdr:nvGrpSpPr>
      <xdr:grpSpPr bwMode="auto">
        <a:xfrm>
          <a:off x="561975" y="495300"/>
          <a:ext cx="6477000" cy="1571625"/>
          <a:chOff x="561295" y="493873"/>
          <a:chExt cx="6497410" cy="1569310"/>
        </a:xfrm>
      </xdr:grpSpPr>
      <xdr:pic>
        <xdr:nvPicPr>
          <xdr:cNvPr id="31" name="Picture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295" y="493873"/>
            <a:ext cx="6497410" cy="1569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Picture 3">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3334" y="1363862"/>
            <a:ext cx="2623677" cy="67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Picture 8">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45357" y="1387147"/>
            <a:ext cx="359674" cy="366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xdr:col>
      <xdr:colOff>142875</xdr:colOff>
      <xdr:row>21</xdr:row>
      <xdr:rowOff>47625</xdr:rowOff>
    </xdr:from>
    <xdr:to>
      <xdr:col>3</xdr:col>
      <xdr:colOff>76200</xdr:colOff>
      <xdr:row>22</xdr:row>
      <xdr:rowOff>19050</xdr:rowOff>
    </xdr:to>
    <xdr:pic>
      <xdr:nvPicPr>
        <xdr:cNvPr id="34" name="Picture 40">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04850" y="65246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17568</xdr:colOff>
      <xdr:row>1</xdr:row>
      <xdr:rowOff>79796</xdr:rowOff>
    </xdr:from>
    <xdr:ext cx="155364" cy="221407"/>
    <xdr:sp macro="" textlink="">
      <xdr:nvSpPr>
        <xdr:cNvPr id="2118" name="Text Box 70">
          <a:extLst>
            <a:ext uri="{FF2B5EF4-FFF2-40B4-BE49-F238E27FC236}">
              <a16:creationId xmlns:a16="http://schemas.microsoft.com/office/drawing/2014/main" id="{00000000-0008-0000-0100-000046080000}"/>
            </a:ext>
          </a:extLst>
        </xdr:cNvPr>
        <xdr:cNvSpPr txBox="1">
          <a:spLocks noChangeArrowheads="1"/>
        </xdr:cNvSpPr>
      </xdr:nvSpPr>
      <xdr:spPr bwMode="auto">
        <a:xfrm>
          <a:off x="398568" y="279821"/>
          <a:ext cx="155364" cy="221407"/>
        </a:xfrm>
        <a:prstGeom prst="rect">
          <a:avLst/>
        </a:prstGeom>
        <a:solidFill>
          <a:srgbClr val="EB0505"/>
        </a:solidFill>
        <a:ln w="9525">
          <a:noFill/>
          <a:miter lim="800000"/>
          <a:headEnd/>
          <a:tailEnd/>
        </a:ln>
        <a:effectLst>
          <a:prstShdw prst="shdw17" dist="17961" dir="2700000">
            <a:srgbClr val="EB0505">
              <a:gamma/>
              <a:shade val="60000"/>
              <a:invGamma/>
            </a:srgbClr>
          </a:prstShdw>
        </a:effectLst>
      </xdr:spPr>
      <xdr:txBody>
        <a:bodyPr wrap="none" lIns="36576" tIns="22860" rIns="36576" bIns="22860" anchor="ctr" upright="1">
          <a:spAutoFit/>
        </a:bodyPr>
        <a:lstStyle/>
        <a:p>
          <a:pPr algn="ctr" rtl="0">
            <a:defRPr sz="1000"/>
          </a:pPr>
          <a:r>
            <a:rPr lang="nl-NL" sz="1200" b="0" i="0" u="none" strike="noStrike" baseline="0">
              <a:solidFill>
                <a:srgbClr val="FFFFFF"/>
              </a:solidFill>
              <a:latin typeface="Wingdings 3"/>
            </a:rPr>
            <a:t>}</a:t>
          </a:r>
        </a:p>
      </xdr:txBody>
    </xdr:sp>
    <xdr:clientData/>
  </xdr:oneCellAnchor>
  <xdr:twoCellAnchor editAs="oneCell">
    <xdr:from>
      <xdr:col>4</xdr:col>
      <xdr:colOff>1133475</xdr:colOff>
      <xdr:row>3</xdr:row>
      <xdr:rowOff>9525</xdr:rowOff>
    </xdr:from>
    <xdr:to>
      <xdr:col>4</xdr:col>
      <xdr:colOff>1685925</xdr:colOff>
      <xdr:row>3</xdr:row>
      <xdr:rowOff>161925</xdr:rowOff>
    </xdr:to>
    <xdr:sp macro="" textlink="">
      <xdr:nvSpPr>
        <xdr:cNvPr id="2119" name="Text Box 71">
          <a:extLst>
            <a:ext uri="{FF2B5EF4-FFF2-40B4-BE49-F238E27FC236}">
              <a16:creationId xmlns:a16="http://schemas.microsoft.com/office/drawing/2014/main" id="{00000000-0008-0000-0100-000047080000}"/>
            </a:ext>
          </a:extLst>
        </xdr:cNvPr>
        <xdr:cNvSpPr txBox="1">
          <a:spLocks noChangeArrowheads="1"/>
        </xdr:cNvSpPr>
      </xdr:nvSpPr>
      <xdr:spPr bwMode="auto">
        <a:xfrm>
          <a:off x="8020050" y="790575"/>
          <a:ext cx="552450" cy="152400"/>
        </a:xfrm>
        <a:prstGeom prst="rect">
          <a:avLst/>
        </a:prstGeom>
        <a:solidFill>
          <a:srgbClr val="EB0505"/>
        </a:solidFill>
        <a:ln w="9525">
          <a:noFill/>
          <a:miter lim="800000"/>
          <a:headEnd/>
          <a:tailEnd/>
        </a:ln>
        <a:effectLst>
          <a:prstShdw prst="shdw17" dist="17961" dir="2700000">
            <a:srgbClr val="EB0505">
              <a:gamma/>
              <a:shade val="60000"/>
              <a:invGamma/>
            </a:srgbClr>
          </a:prstShdw>
        </a:effectLst>
      </xdr:spPr>
      <xdr:txBody>
        <a:bodyPr vertOverflow="clip" wrap="square" lIns="36576" tIns="18288" rIns="36576" bIns="0" anchor="t" upright="1"/>
        <a:lstStyle/>
        <a:p>
          <a:pPr algn="ctr" rtl="0">
            <a:defRPr sz="1000"/>
          </a:pPr>
          <a:r>
            <a:rPr lang="nl-NL" sz="800" b="0" i="0" u="none" strike="noStrike" baseline="0">
              <a:solidFill>
                <a:srgbClr val="FFFFFF"/>
              </a:solidFill>
              <a:latin typeface="Wingdings 3"/>
            </a:rPr>
            <a:t>È</a:t>
          </a:r>
          <a:r>
            <a:rPr lang="nl-NL" sz="700" b="0" i="0" u="none" strike="noStrike" baseline="0">
              <a:solidFill>
                <a:srgbClr val="FFFFFF"/>
              </a:solidFill>
              <a:latin typeface="Small Fonts"/>
            </a:rPr>
            <a:t> vul in</a:t>
          </a:r>
          <a:r>
            <a:rPr lang="nl-NL" sz="800" b="0" i="0" u="none" strike="noStrike" baseline="0">
              <a:solidFill>
                <a:srgbClr val="FFFFFF"/>
              </a:solidFill>
              <a:latin typeface="Tahoma"/>
              <a:cs typeface="Tahoma"/>
            </a:rPr>
            <a:t> </a:t>
          </a:r>
          <a:r>
            <a:rPr lang="nl-NL" sz="800" b="0" i="0" u="none" strike="noStrike" baseline="0">
              <a:solidFill>
                <a:srgbClr val="FFFFFF"/>
              </a:solidFill>
              <a:latin typeface="Wingdings 3"/>
            </a:rPr>
            <a:t>È</a:t>
          </a:r>
        </a:p>
      </xdr:txBody>
    </xdr:sp>
    <xdr:clientData fPrintsWithSheet="0"/>
  </xdr:twoCellAnchor>
  <xdr:twoCellAnchor editAs="oneCell">
    <xdr:from>
      <xdr:col>6</xdr:col>
      <xdr:colOff>0</xdr:colOff>
      <xdr:row>2</xdr:row>
      <xdr:rowOff>28575</xdr:rowOff>
    </xdr:from>
    <xdr:to>
      <xdr:col>10</xdr:col>
      <xdr:colOff>0</xdr:colOff>
      <xdr:row>3</xdr:row>
      <xdr:rowOff>0</xdr:rowOff>
    </xdr:to>
    <xdr:sp macro="" textlink="">
      <xdr:nvSpPr>
        <xdr:cNvPr id="2147" name="Text Box 72">
          <a:extLst>
            <a:ext uri="{FF2B5EF4-FFF2-40B4-BE49-F238E27FC236}">
              <a16:creationId xmlns:a16="http://schemas.microsoft.com/office/drawing/2014/main" id="{00000000-0008-0000-0100-000063080000}"/>
            </a:ext>
          </a:extLst>
        </xdr:cNvPr>
        <xdr:cNvSpPr txBox="1">
          <a:spLocks noChangeArrowheads="1"/>
        </xdr:cNvSpPr>
      </xdr:nvSpPr>
      <xdr:spPr bwMode="auto">
        <a:xfrm>
          <a:off x="7286625" y="609600"/>
          <a:ext cx="1524000" cy="171450"/>
        </a:xfrm>
        <a:prstGeom prst="rect">
          <a:avLst/>
        </a:prstGeom>
        <a:solidFill>
          <a:srgbClr val="9B9B95"/>
        </a:solidFill>
        <a:ln w="9525">
          <a:noFill/>
          <a:miter lim="800000"/>
          <a:headEnd/>
          <a:tailEnd/>
        </a:ln>
        <a:effectLst>
          <a:prstShdw prst="shdw17" dist="17961" dir="2700000">
            <a:srgbClr val="5D5D59"/>
          </a:prstShdw>
        </a:effectLst>
      </xdr:spPr>
      <xdr:txBody>
        <a:bodyPr vertOverflow="clip" wrap="square" lIns="27432" tIns="18288" rIns="27432" bIns="18288" anchor="ctr" upright="1"/>
        <a:lstStyle/>
        <a:p>
          <a:pPr algn="ctr" rtl="0">
            <a:defRPr sz="1000"/>
          </a:pPr>
          <a:r>
            <a:rPr lang="nl-NL" sz="700" b="0" i="0" u="none" strike="noStrike" baseline="0">
              <a:solidFill>
                <a:srgbClr val="FFFFFF"/>
              </a:solidFill>
              <a:latin typeface="Small Fonts"/>
            </a:rPr>
            <a:t>[ n a v i g a t i e k o l o m ]</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24</xdr:row>
          <xdr:rowOff>190500</xdr:rowOff>
        </xdr:from>
        <xdr:to>
          <xdr:col>4</xdr:col>
          <xdr:colOff>1685925</xdr:colOff>
          <xdr:row>25</xdr:row>
          <xdr:rowOff>219075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EB0505"/>
            </a:solidFill>
            <a:ln>
              <a:noFill/>
            </a:ln>
            <a:effectLst/>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900" b="0" i="0" u="none" strike="noStrike" baseline="0">
                  <a:solidFill>
                    <a:srgbClr val="FFFFFF"/>
                  </a:solidFill>
                  <a:latin typeface="Tahoma"/>
                  <a:ea typeface="Tahoma"/>
                  <a:cs typeface="Tahoma"/>
                </a:rPr>
                <a:t>Urencriterium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77</xdr:row>
          <xdr:rowOff>19050</xdr:rowOff>
        </xdr:from>
        <xdr:to>
          <xdr:col>3</xdr:col>
          <xdr:colOff>1438275</xdr:colOff>
          <xdr:row>78</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solidFill>
              <a:srgbClr val="EB0505"/>
            </a:solidFill>
            <a:ln>
              <a:noFill/>
            </a:ln>
            <a:effectLst/>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900" b="0" i="0" u="none" strike="noStrike" baseline="0">
                  <a:solidFill>
                    <a:srgbClr val="FFFFFF"/>
                  </a:solidFill>
                  <a:latin typeface="Tahoma"/>
                  <a:ea typeface="Tahoma"/>
                  <a:cs typeface="Tahoma"/>
                </a:rPr>
                <a:t>Urencriterium vennoot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76</xdr:row>
          <xdr:rowOff>19050</xdr:rowOff>
        </xdr:from>
        <xdr:to>
          <xdr:col>3</xdr:col>
          <xdr:colOff>1438275</xdr:colOff>
          <xdr:row>76</xdr:row>
          <xdr:rowOff>219075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solidFill>
              <a:srgbClr val="EB0505"/>
            </a:solidFill>
            <a:ln>
              <a:noFill/>
            </a:ln>
            <a:effectLst/>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900" b="0" i="0" u="none" strike="noStrike" baseline="0">
                  <a:solidFill>
                    <a:srgbClr val="FFFFFF"/>
                  </a:solidFill>
                  <a:latin typeface="Tahoma"/>
                  <a:ea typeface="Tahoma"/>
                  <a:cs typeface="Tahoma"/>
                </a:rPr>
                <a:t>Urencriterium vennoot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76</xdr:row>
          <xdr:rowOff>19050</xdr:rowOff>
        </xdr:from>
        <xdr:to>
          <xdr:col>2</xdr:col>
          <xdr:colOff>1152525</xdr:colOff>
          <xdr:row>76</xdr:row>
          <xdr:rowOff>219075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solidFill>
              <a:srgbClr val="EB0505"/>
            </a:solidFill>
            <a:ln>
              <a:noFill/>
            </a:ln>
            <a:effectLst/>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900" b="0" i="0" u="none" strike="noStrike" baseline="0">
                  <a:solidFill>
                    <a:srgbClr val="FFFFFF"/>
                  </a:solidFill>
                  <a:latin typeface="Tahoma"/>
                  <a:ea typeface="Tahoma"/>
                  <a:cs typeface="Tahoma"/>
                </a:rPr>
                <a:t>FOR vennoot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77</xdr:row>
          <xdr:rowOff>19050</xdr:rowOff>
        </xdr:from>
        <xdr:to>
          <xdr:col>2</xdr:col>
          <xdr:colOff>1152525</xdr:colOff>
          <xdr:row>78</xdr:row>
          <xdr:rowOff>9525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solidFill>
              <a:srgbClr val="EB0505"/>
            </a:solidFill>
            <a:ln>
              <a:noFill/>
            </a:ln>
            <a:effectLst/>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900" b="0" i="0" u="none" strike="noStrike" baseline="0">
                  <a:solidFill>
                    <a:srgbClr val="FFFFFF"/>
                  </a:solidFill>
                  <a:latin typeface="Tahoma"/>
                  <a:ea typeface="Tahoma"/>
                  <a:cs typeface="Tahoma"/>
                </a:rPr>
                <a:t>FOR vennoot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190500</xdr:rowOff>
        </xdr:from>
        <xdr:to>
          <xdr:col>3</xdr:col>
          <xdr:colOff>1438275</xdr:colOff>
          <xdr:row>25</xdr:row>
          <xdr:rowOff>219075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solidFill>
              <a:srgbClr val="EB0505"/>
            </a:solidFill>
            <a:ln>
              <a:noFill/>
            </a:ln>
            <a:effectLst/>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900" b="0" i="0" u="none" strike="noStrike" baseline="0">
                  <a:solidFill>
                    <a:srgbClr val="FFFFFF"/>
                  </a:solidFill>
                  <a:latin typeface="Tahoma"/>
                  <a:ea typeface="Tahoma"/>
                  <a:cs typeface="Tahoma"/>
                </a:rPr>
                <a:t>FOR</a:t>
              </a:r>
            </a:p>
          </xdr:txBody>
        </xdr:sp>
        <xdr:clientData fLocksWithSheet="0"/>
      </xdr:twoCellAnchor>
    </mc:Choice>
    <mc:Fallback/>
  </mc:AlternateContent>
  <xdr:twoCellAnchor>
    <xdr:from>
      <xdr:col>1</xdr:col>
      <xdr:colOff>2657475</xdr:colOff>
      <xdr:row>49</xdr:row>
      <xdr:rowOff>180975</xdr:rowOff>
    </xdr:from>
    <xdr:to>
      <xdr:col>4</xdr:col>
      <xdr:colOff>523875</xdr:colOff>
      <xdr:row>54</xdr:row>
      <xdr:rowOff>9525</xdr:rowOff>
    </xdr:to>
    <xdr:sp macro="" textlink="">
      <xdr:nvSpPr>
        <xdr:cNvPr id="4" name="Rectangle 3">
          <a:extLst>
            <a:ext uri="{FF2B5EF4-FFF2-40B4-BE49-F238E27FC236}">
              <a16:creationId xmlns:a16="http://schemas.microsoft.com/office/drawing/2014/main" id="{00000000-0008-0000-0100-000004000000}"/>
            </a:ext>
          </a:extLst>
        </xdr:cNvPr>
        <xdr:cNvSpPr/>
      </xdr:nvSpPr>
      <xdr:spPr bwMode="auto">
        <a:xfrm>
          <a:off x="3038475" y="10077450"/>
          <a:ext cx="4371975" cy="600075"/>
        </a:xfrm>
        <a:prstGeom prst="rect">
          <a:avLst/>
        </a:prstGeom>
        <a:solidFill>
          <a:schemeClr val="bg1">
            <a:lumMod val="85000"/>
            <a:alpha val="30000"/>
          </a:schemeClr>
        </a:solid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xdr:from>
      <xdr:col>1</xdr:col>
      <xdr:colOff>2762250</xdr:colOff>
      <xdr:row>132</xdr:row>
      <xdr:rowOff>190499</xdr:rowOff>
    </xdr:from>
    <xdr:to>
      <xdr:col>4</xdr:col>
      <xdr:colOff>628650</xdr:colOff>
      <xdr:row>137</xdr:row>
      <xdr:rowOff>47625</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bwMode="auto">
        <a:xfrm>
          <a:off x="3143250" y="24403049"/>
          <a:ext cx="4371975" cy="628651"/>
        </a:xfrm>
        <a:prstGeom prst="rect">
          <a:avLst/>
        </a:prstGeom>
        <a:solidFill>
          <a:schemeClr val="bg1">
            <a:lumMod val="85000"/>
            <a:alpha val="30000"/>
          </a:schemeClr>
        </a:solid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xdr:from>
      <xdr:col>1</xdr:col>
      <xdr:colOff>2762250</xdr:colOff>
      <xdr:row>96</xdr:row>
      <xdr:rowOff>180974</xdr:rowOff>
    </xdr:from>
    <xdr:to>
      <xdr:col>4</xdr:col>
      <xdr:colOff>628650</xdr:colOff>
      <xdr:row>101</xdr:row>
      <xdr:rowOff>19050</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bwMode="auto">
        <a:xfrm>
          <a:off x="3143250" y="18021299"/>
          <a:ext cx="4371975" cy="609601"/>
        </a:xfrm>
        <a:prstGeom prst="rect">
          <a:avLst/>
        </a:prstGeom>
        <a:solidFill>
          <a:schemeClr val="bg1">
            <a:lumMod val="85000"/>
            <a:alpha val="30000"/>
          </a:schemeClr>
        </a:solid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xdr:from>
      <xdr:col>1</xdr:col>
      <xdr:colOff>2762250</xdr:colOff>
      <xdr:row>138</xdr:row>
      <xdr:rowOff>180975</xdr:rowOff>
    </xdr:from>
    <xdr:to>
      <xdr:col>4</xdr:col>
      <xdr:colOff>628650</xdr:colOff>
      <xdr:row>142</xdr:row>
      <xdr:rowOff>28576</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bwMode="auto">
        <a:xfrm>
          <a:off x="3143250" y="23479125"/>
          <a:ext cx="4371975" cy="333376"/>
        </a:xfrm>
        <a:prstGeom prst="rect">
          <a:avLst/>
        </a:prstGeom>
        <a:solidFill>
          <a:schemeClr val="bg1">
            <a:lumMod val="85000"/>
            <a:alpha val="30000"/>
          </a:schemeClr>
        </a:solid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xdr:from>
      <xdr:col>1</xdr:col>
      <xdr:colOff>2657475</xdr:colOff>
      <xdr:row>57</xdr:row>
      <xdr:rowOff>190500</xdr:rowOff>
    </xdr:from>
    <xdr:to>
      <xdr:col>4</xdr:col>
      <xdr:colOff>523875</xdr:colOff>
      <xdr:row>63</xdr:row>
      <xdr:rowOff>0</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bwMode="auto">
        <a:xfrm>
          <a:off x="3038475" y="11058525"/>
          <a:ext cx="4371975" cy="723900"/>
        </a:xfrm>
        <a:prstGeom prst="rect">
          <a:avLst/>
        </a:prstGeom>
        <a:solidFill>
          <a:schemeClr val="bg1">
            <a:lumMod val="85000"/>
            <a:alpha val="30000"/>
          </a:schemeClr>
        </a:solid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xdr:from>
      <xdr:col>1</xdr:col>
      <xdr:colOff>2762250</xdr:colOff>
      <xdr:row>104</xdr:row>
      <xdr:rowOff>190500</xdr:rowOff>
    </xdr:from>
    <xdr:to>
      <xdr:col>4</xdr:col>
      <xdr:colOff>628650</xdr:colOff>
      <xdr:row>110</xdr:row>
      <xdr:rowOff>0</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bwMode="auto">
        <a:xfrm>
          <a:off x="3143250" y="19002375"/>
          <a:ext cx="4371975" cy="723900"/>
        </a:xfrm>
        <a:prstGeom prst="rect">
          <a:avLst/>
        </a:prstGeom>
        <a:solidFill>
          <a:schemeClr val="bg1">
            <a:lumMod val="85000"/>
            <a:alpha val="30000"/>
          </a:schemeClr>
        </a:solid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xdr:from>
      <xdr:col>1</xdr:col>
      <xdr:colOff>2657475</xdr:colOff>
      <xdr:row>151</xdr:row>
      <xdr:rowOff>190500</xdr:rowOff>
    </xdr:from>
    <xdr:to>
      <xdr:col>4</xdr:col>
      <xdr:colOff>523875</xdr:colOff>
      <xdr:row>157</xdr:row>
      <xdr:rowOff>0</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bwMode="auto">
        <a:xfrm>
          <a:off x="3038475" y="11058525"/>
          <a:ext cx="4371975" cy="723900"/>
        </a:xfrm>
        <a:prstGeom prst="rect">
          <a:avLst/>
        </a:prstGeom>
        <a:solidFill>
          <a:schemeClr val="bg1">
            <a:lumMod val="85000"/>
            <a:alpha val="30000"/>
          </a:schemeClr>
        </a:solid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du.nl/disclaimer" TargetMode="External"/><Relationship Id="rId7" Type="http://schemas.openxmlformats.org/officeDocument/2006/relationships/comments" Target="../comments1.xml"/><Relationship Id="rId2" Type="http://schemas.openxmlformats.org/officeDocument/2006/relationships/hyperlink" Target="mailto:informatie@sdu.nl" TargetMode="External"/><Relationship Id="rId1" Type="http://schemas.openxmlformats.org/officeDocument/2006/relationships/hyperlink" Target="mailto:klantenservice@indicator.be"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B4D8A-FC0B-4733-A89A-75D63D89A396}">
  <sheetPr>
    <pageSetUpPr autoPageBreaks="0"/>
  </sheetPr>
  <dimension ref="A1:AQ46"/>
  <sheetViews>
    <sheetView showGridLines="0" showRowColHeaders="0" tabSelected="1" topLeftCell="A16" zoomScaleNormal="100" workbookViewId="0"/>
  </sheetViews>
  <sheetFormatPr defaultColWidth="5.7109375" defaultRowHeight="20.100000000000001" customHeight="1" x14ac:dyDescent="0.15"/>
  <cols>
    <col min="1" max="1" width="5.7109375" style="217" customWidth="1"/>
    <col min="2" max="2" width="2.7109375" style="217" customWidth="1"/>
    <col min="3" max="3" width="4.28515625" style="217" customWidth="1"/>
    <col min="4" max="4" width="7.140625" style="217" customWidth="1"/>
    <col min="5" max="16" width="5.7109375" style="217" customWidth="1"/>
    <col min="17" max="17" width="8.85546875" style="217" customWidth="1"/>
    <col min="18" max="18" width="8.28515625" style="217" customWidth="1"/>
    <col min="19" max="19" width="2.7109375" style="217" customWidth="1"/>
    <col min="20" max="23" width="5.7109375" style="217" customWidth="1"/>
    <col min="24" max="24" width="7.42578125" style="217" customWidth="1"/>
    <col min="25" max="27" width="5.7109375" style="217" customWidth="1"/>
    <col min="28" max="28" width="8.42578125" style="217" customWidth="1"/>
    <col min="29" max="16384" width="5.7109375" style="217"/>
  </cols>
  <sheetData>
    <row r="1" spans="1:43" ht="20.100000000000001" customHeight="1" x14ac:dyDescent="0.1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row>
    <row r="2" spans="1:43" ht="20.100000000000001" customHeight="1" x14ac:dyDescent="0.15">
      <c r="A2" s="216"/>
      <c r="B2" s="218"/>
      <c r="C2" s="218"/>
      <c r="D2" s="218"/>
      <c r="E2" s="218"/>
      <c r="F2" s="218"/>
      <c r="G2" s="218"/>
      <c r="H2" s="218"/>
      <c r="I2" s="218"/>
      <c r="J2" s="218"/>
      <c r="K2" s="218"/>
      <c r="L2" s="218"/>
      <c r="M2" s="218"/>
      <c r="N2" s="218"/>
      <c r="O2" s="218"/>
      <c r="P2" s="218"/>
      <c r="Q2" s="218"/>
      <c r="R2" s="218"/>
      <c r="S2" s="218"/>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row>
    <row r="3" spans="1:43" ht="120" customHeight="1" x14ac:dyDescent="0.15">
      <c r="A3" s="216"/>
      <c r="B3" s="218"/>
      <c r="C3" s="218"/>
      <c r="D3" s="218"/>
      <c r="E3" s="218"/>
      <c r="F3" s="218"/>
      <c r="G3" s="218"/>
      <c r="H3" s="218"/>
      <c r="I3" s="218"/>
      <c r="J3" s="218"/>
      <c r="K3" s="218"/>
      <c r="L3" s="218"/>
      <c r="M3" s="218"/>
      <c r="N3" s="218"/>
      <c r="O3" s="218"/>
      <c r="P3" s="218"/>
      <c r="Q3" s="218"/>
      <c r="R3" s="218"/>
      <c r="S3" s="218"/>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row>
    <row r="4" spans="1:43" ht="20.100000000000001" customHeight="1" x14ac:dyDescent="0.15">
      <c r="A4" s="216"/>
      <c r="B4" s="218"/>
      <c r="C4" s="218"/>
      <c r="D4" s="218"/>
      <c r="E4" s="218"/>
      <c r="F4" s="218"/>
      <c r="G4" s="218"/>
      <c r="H4" s="218"/>
      <c r="I4" s="218"/>
      <c r="J4" s="218"/>
      <c r="K4" s="218"/>
      <c r="L4" s="218"/>
      <c r="M4" s="218"/>
      <c r="N4" s="218"/>
      <c r="O4" s="218"/>
      <c r="P4" s="218"/>
      <c r="Q4" s="218"/>
      <c r="R4" s="227" t="s">
        <v>131</v>
      </c>
      <c r="S4" s="218"/>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row>
    <row r="5" spans="1:43" ht="20.100000000000001" customHeight="1" x14ac:dyDescent="0.15">
      <c r="A5" s="216"/>
      <c r="B5" s="218"/>
      <c r="C5" s="218"/>
      <c r="D5" s="218"/>
      <c r="E5" s="218"/>
      <c r="F5" s="218"/>
      <c r="G5" s="218"/>
      <c r="H5" s="218"/>
      <c r="I5" s="218"/>
      <c r="J5" s="218"/>
      <c r="K5" s="218"/>
      <c r="L5" s="218"/>
      <c r="M5" s="218"/>
      <c r="N5" s="218"/>
      <c r="O5" s="218"/>
      <c r="P5" s="218"/>
      <c r="Q5" s="218"/>
      <c r="R5" s="218"/>
      <c r="S5" s="218"/>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row>
    <row r="6" spans="1:43" ht="20.100000000000001" customHeight="1" x14ac:dyDescent="0.15">
      <c r="A6" s="216"/>
      <c r="B6" s="218"/>
      <c r="C6" s="219"/>
      <c r="D6" s="220" t="s">
        <v>54</v>
      </c>
      <c r="E6" s="218"/>
      <c r="F6" s="218"/>
      <c r="G6" s="218"/>
      <c r="H6" s="218"/>
      <c r="I6" s="218"/>
      <c r="J6" s="218"/>
      <c r="K6" s="218"/>
      <c r="L6" s="218"/>
      <c r="M6" s="218"/>
      <c r="N6" s="218"/>
      <c r="O6" s="218"/>
      <c r="P6" s="218"/>
      <c r="Q6" s="218"/>
      <c r="R6" s="218"/>
      <c r="S6" s="218"/>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row>
    <row r="7" spans="1:43" ht="20.100000000000001" customHeight="1" x14ac:dyDescent="0.15">
      <c r="A7" s="216"/>
      <c r="B7" s="218"/>
      <c r="C7" s="218"/>
      <c r="D7" s="218"/>
      <c r="E7" s="218"/>
      <c r="F7" s="218"/>
      <c r="G7" s="218"/>
      <c r="H7" s="218"/>
      <c r="I7" s="218"/>
      <c r="J7" s="218"/>
      <c r="K7" s="218"/>
      <c r="L7" s="218"/>
      <c r="M7" s="218"/>
      <c r="N7" s="218"/>
      <c r="O7" s="218"/>
      <c r="P7" s="218"/>
      <c r="Q7" s="218"/>
      <c r="R7" s="218"/>
      <c r="S7" s="218"/>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row>
    <row r="8" spans="1:43" ht="20.100000000000001" customHeight="1" x14ac:dyDescent="0.15">
      <c r="A8" s="216"/>
      <c r="B8" s="218"/>
      <c r="C8" s="218"/>
      <c r="D8" s="218"/>
      <c r="E8" s="218"/>
      <c r="F8" s="218"/>
      <c r="G8" s="218"/>
      <c r="H8" s="218"/>
      <c r="I8" s="218"/>
      <c r="J8" s="218"/>
      <c r="K8" s="218"/>
      <c r="L8" s="218"/>
      <c r="M8" s="218"/>
      <c r="N8" s="218"/>
      <c r="O8" s="218"/>
      <c r="P8" s="218"/>
      <c r="Q8" s="218"/>
      <c r="R8" s="218"/>
      <c r="S8" s="218"/>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row>
    <row r="9" spans="1:43" ht="20.100000000000001" customHeight="1" x14ac:dyDescent="0.15">
      <c r="A9" s="216"/>
      <c r="B9" s="218"/>
      <c r="C9" s="218"/>
      <c r="D9" s="218"/>
      <c r="E9" s="218"/>
      <c r="F9" s="218"/>
      <c r="G9" s="218"/>
      <c r="H9" s="218"/>
      <c r="I9" s="218"/>
      <c r="J9" s="218"/>
      <c r="K9" s="218"/>
      <c r="L9" s="218"/>
      <c r="M9" s="218"/>
      <c r="N9" s="218"/>
      <c r="O9" s="218"/>
      <c r="P9" s="218"/>
      <c r="Q9" s="218"/>
      <c r="R9" s="218"/>
      <c r="S9" s="218"/>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row>
    <row r="10" spans="1:43" ht="20.100000000000001" customHeight="1" x14ac:dyDescent="0.15">
      <c r="A10" s="216"/>
      <c r="B10" s="218"/>
      <c r="C10" s="218"/>
      <c r="D10" s="218"/>
      <c r="E10" s="218"/>
      <c r="F10" s="218"/>
      <c r="G10" s="218"/>
      <c r="H10" s="218"/>
      <c r="I10" s="218"/>
      <c r="J10" s="218"/>
      <c r="K10" s="218"/>
      <c r="L10" s="218"/>
      <c r="M10" s="218"/>
      <c r="N10" s="218"/>
      <c r="O10" s="218"/>
      <c r="P10" s="218"/>
      <c r="Q10" s="218"/>
      <c r="R10" s="218"/>
      <c r="S10" s="218"/>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row>
    <row r="11" spans="1:43" ht="20.100000000000001" customHeight="1" x14ac:dyDescent="0.15">
      <c r="A11" s="216"/>
      <c r="B11" s="218"/>
      <c r="C11" s="218"/>
      <c r="D11" s="218"/>
      <c r="E11" s="218"/>
      <c r="F11" s="218"/>
      <c r="G11" s="218"/>
      <c r="H11" s="218"/>
      <c r="I11" s="218"/>
      <c r="J11" s="218"/>
      <c r="K11" s="218"/>
      <c r="L11" s="218"/>
      <c r="M11" s="218"/>
      <c r="N11" s="218"/>
      <c r="O11" s="218"/>
      <c r="P11" s="218"/>
      <c r="Q11" s="218"/>
      <c r="R11" s="218"/>
      <c r="S11" s="218"/>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row>
    <row r="12" spans="1:43" ht="20.100000000000001" customHeight="1" x14ac:dyDescent="0.15">
      <c r="A12" s="216"/>
      <c r="B12" s="218"/>
      <c r="C12" s="218"/>
      <c r="D12" s="218"/>
      <c r="E12" s="218"/>
      <c r="F12" s="218"/>
      <c r="G12" s="218"/>
      <c r="H12" s="218"/>
      <c r="I12" s="218"/>
      <c r="J12" s="218"/>
      <c r="K12" s="218"/>
      <c r="L12" s="218"/>
      <c r="M12" s="218"/>
      <c r="N12" s="218"/>
      <c r="O12" s="218"/>
      <c r="P12" s="218"/>
      <c r="Q12" s="218"/>
      <c r="R12" s="218"/>
      <c r="S12" s="218"/>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row>
    <row r="13" spans="1:43" ht="20.100000000000001" customHeight="1" x14ac:dyDescent="0.15">
      <c r="A13" s="216"/>
      <c r="B13" s="218"/>
      <c r="C13" s="221"/>
      <c r="D13" s="222" t="s">
        <v>34</v>
      </c>
      <c r="E13" s="218"/>
      <c r="F13" s="218"/>
      <c r="G13" s="218"/>
      <c r="H13" s="218"/>
      <c r="I13" s="218"/>
      <c r="J13" s="218"/>
      <c r="K13" s="218"/>
      <c r="L13" s="218"/>
      <c r="M13" s="218"/>
      <c r="N13" s="218"/>
      <c r="O13" s="218"/>
      <c r="P13" s="218"/>
      <c r="Q13" s="218"/>
      <c r="R13" s="218"/>
      <c r="S13" s="218"/>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row>
    <row r="14" spans="1:43" ht="20.100000000000001" customHeight="1" x14ac:dyDescent="0.15">
      <c r="A14" s="216"/>
      <c r="B14" s="218"/>
      <c r="C14" s="223"/>
      <c r="D14" s="218"/>
      <c r="E14" s="218"/>
      <c r="F14" s="218"/>
      <c r="G14" s="218"/>
      <c r="H14" s="218"/>
      <c r="I14" s="218"/>
      <c r="J14" s="218"/>
      <c r="K14" s="218"/>
      <c r="L14" s="218"/>
      <c r="M14" s="218"/>
      <c r="N14" s="218"/>
      <c r="O14" s="218"/>
      <c r="P14" s="218"/>
      <c r="Q14" s="218"/>
      <c r="R14" s="218"/>
      <c r="S14" s="218"/>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row>
    <row r="15" spans="1:43" ht="20.100000000000001" customHeight="1" x14ac:dyDescent="0.15">
      <c r="A15" s="216"/>
      <c r="B15" s="218"/>
      <c r="C15" s="218"/>
      <c r="D15" s="218"/>
      <c r="E15" s="218"/>
      <c r="F15" s="218"/>
      <c r="G15" s="218"/>
      <c r="H15" s="218"/>
      <c r="I15" s="218"/>
      <c r="J15" s="218"/>
      <c r="K15" s="218"/>
      <c r="L15" s="218"/>
      <c r="M15" s="218"/>
      <c r="N15" s="218"/>
      <c r="O15" s="218"/>
      <c r="P15" s="218"/>
      <c r="Q15" s="218"/>
      <c r="R15" s="218"/>
      <c r="S15" s="218"/>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row>
    <row r="16" spans="1:43" ht="20.100000000000001" customHeight="1" x14ac:dyDescent="0.15">
      <c r="A16" s="216"/>
      <c r="B16" s="218"/>
      <c r="C16" s="218"/>
      <c r="D16" s="218"/>
      <c r="E16" s="218"/>
      <c r="F16" s="218"/>
      <c r="G16" s="218"/>
      <c r="H16" s="218"/>
      <c r="I16" s="218"/>
      <c r="J16" s="218"/>
      <c r="K16" s="218"/>
      <c r="L16" s="218"/>
      <c r="M16" s="218"/>
      <c r="N16" s="218"/>
      <c r="O16" s="218"/>
      <c r="P16" s="218"/>
      <c r="Q16" s="218"/>
      <c r="R16" s="218"/>
      <c r="S16" s="218"/>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row>
    <row r="17" spans="1:43" ht="20.100000000000001" customHeight="1" x14ac:dyDescent="0.15">
      <c r="A17" s="216"/>
      <c r="B17" s="218"/>
      <c r="C17" s="218"/>
      <c r="D17" s="218"/>
      <c r="E17" s="218"/>
      <c r="F17" s="218"/>
      <c r="G17" s="218"/>
      <c r="H17" s="218"/>
      <c r="I17" s="218"/>
      <c r="J17" s="218"/>
      <c r="K17" s="218"/>
      <c r="L17" s="218"/>
      <c r="M17" s="218"/>
      <c r="N17" s="218"/>
      <c r="O17" s="218"/>
      <c r="P17" s="218"/>
      <c r="Q17" s="218"/>
      <c r="R17" s="218"/>
      <c r="S17" s="218"/>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row>
    <row r="18" spans="1:43" ht="20.100000000000001" customHeight="1" x14ac:dyDescent="0.15">
      <c r="A18" s="216"/>
      <c r="B18" s="218"/>
      <c r="C18" s="218"/>
      <c r="D18" s="218"/>
      <c r="E18" s="218"/>
      <c r="F18" s="218"/>
      <c r="G18" s="218"/>
      <c r="H18" s="218"/>
      <c r="I18" s="218"/>
      <c r="J18" s="218"/>
      <c r="K18" s="218"/>
      <c r="L18" s="218"/>
      <c r="M18" s="218"/>
      <c r="N18" s="218"/>
      <c r="O18" s="218"/>
      <c r="P18" s="228" t="s">
        <v>35</v>
      </c>
      <c r="Q18" s="228"/>
      <c r="R18" s="218"/>
      <c r="S18" s="218"/>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row>
    <row r="19" spans="1:43" ht="20.100000000000001" customHeight="1" x14ac:dyDescent="0.15">
      <c r="A19" s="216"/>
      <c r="B19" s="218"/>
      <c r="C19" s="218"/>
      <c r="D19" s="218"/>
      <c r="E19" s="218"/>
      <c r="F19" s="218"/>
      <c r="G19" s="218"/>
      <c r="H19" s="218"/>
      <c r="I19" s="218"/>
      <c r="J19" s="218"/>
      <c r="K19" s="218"/>
      <c r="L19" s="218"/>
      <c r="M19" s="218"/>
      <c r="N19" s="218"/>
      <c r="O19" s="218"/>
      <c r="P19" s="218"/>
      <c r="Q19" s="218"/>
      <c r="R19" s="218"/>
      <c r="S19" s="218"/>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row>
    <row r="20" spans="1:43" ht="20.100000000000001" customHeight="1" x14ac:dyDescent="0.15">
      <c r="A20" s="216"/>
      <c r="B20" s="218"/>
      <c r="C20" s="218"/>
      <c r="D20" s="218"/>
      <c r="E20" s="218"/>
      <c r="F20" s="218"/>
      <c r="G20" s="218"/>
      <c r="H20" s="218"/>
      <c r="I20" s="218"/>
      <c r="J20" s="218"/>
      <c r="K20" s="218"/>
      <c r="L20" s="218"/>
      <c r="M20" s="218"/>
      <c r="N20" s="218"/>
      <c r="O20" s="218"/>
      <c r="P20" s="218"/>
      <c r="Q20" s="218"/>
      <c r="R20" s="218"/>
      <c r="S20" s="218"/>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row>
    <row r="21" spans="1:43" ht="20.100000000000001" customHeight="1" x14ac:dyDescent="0.15">
      <c r="A21" s="216"/>
      <c r="B21" s="218"/>
      <c r="C21" s="224"/>
      <c r="D21" s="224"/>
      <c r="E21" s="224"/>
      <c r="F21" s="224"/>
      <c r="G21" s="224"/>
      <c r="H21" s="224"/>
      <c r="I21" s="224"/>
      <c r="J21" s="224"/>
      <c r="K21" s="224"/>
      <c r="L21" s="224"/>
      <c r="M21" s="224"/>
      <c r="N21" s="224"/>
      <c r="O21" s="224"/>
      <c r="P21" s="224"/>
      <c r="Q21" s="224"/>
      <c r="R21" s="224"/>
      <c r="S21" s="218"/>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row>
    <row r="22" spans="1:43" ht="20.100000000000001" customHeight="1" x14ac:dyDescent="0.15">
      <c r="A22" s="216"/>
      <c r="B22" s="218"/>
      <c r="C22" s="224"/>
      <c r="D22" s="224"/>
      <c r="E22" s="224"/>
      <c r="F22" s="224"/>
      <c r="G22" s="224"/>
      <c r="H22" s="224"/>
      <c r="I22" s="224"/>
      <c r="J22" s="224"/>
      <c r="K22" s="224"/>
      <c r="L22" s="224"/>
      <c r="M22" s="224"/>
      <c r="N22" s="224"/>
      <c r="O22" s="224"/>
      <c r="P22" s="229" t="s">
        <v>36</v>
      </c>
      <c r="Q22" s="229"/>
      <c r="R22" s="224"/>
      <c r="S22" s="218"/>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row>
    <row r="23" spans="1:43" ht="20.100000000000001" customHeight="1" x14ac:dyDescent="0.15">
      <c r="A23" s="216"/>
      <c r="B23" s="218"/>
      <c r="C23" s="230" t="s">
        <v>130</v>
      </c>
      <c r="D23" s="230"/>
      <c r="E23" s="230"/>
      <c r="F23" s="230"/>
      <c r="G23" s="230"/>
      <c r="H23" s="230"/>
      <c r="I23" s="230"/>
      <c r="J23" s="230"/>
      <c r="K23" s="230"/>
      <c r="L23" s="230"/>
      <c r="M23" s="230"/>
      <c r="N23" s="224"/>
      <c r="O23" s="224"/>
      <c r="P23" s="231" t="s">
        <v>37</v>
      </c>
      <c r="Q23" s="231"/>
      <c r="R23" s="224"/>
      <c r="S23" s="218"/>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row>
    <row r="24" spans="1:43" ht="20.100000000000001" customHeight="1" x14ac:dyDescent="0.15">
      <c r="A24" s="216"/>
      <c r="B24" s="218"/>
      <c r="C24" s="224"/>
      <c r="D24" s="224"/>
      <c r="E24" s="224"/>
      <c r="F24" s="224"/>
      <c r="G24" s="224"/>
      <c r="H24" s="224"/>
      <c r="I24" s="224"/>
      <c r="J24" s="224"/>
      <c r="K24" s="224"/>
      <c r="L24" s="224"/>
      <c r="M24" s="224"/>
      <c r="N24" s="224"/>
      <c r="O24" s="225"/>
      <c r="P24" s="225"/>
      <c r="Q24" s="225"/>
      <c r="R24" s="224"/>
      <c r="S24" s="218"/>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row>
    <row r="25" spans="1:43" ht="20.100000000000001" customHeight="1" x14ac:dyDescent="0.15">
      <c r="A25" s="216"/>
      <c r="B25" s="218"/>
      <c r="C25" s="218"/>
      <c r="D25" s="218"/>
      <c r="E25" s="218"/>
      <c r="F25" s="218"/>
      <c r="G25" s="218"/>
      <c r="H25" s="218"/>
      <c r="I25" s="218"/>
      <c r="J25" s="218"/>
      <c r="K25" s="218"/>
      <c r="L25" s="218"/>
      <c r="M25" s="218"/>
      <c r="N25" s="218"/>
      <c r="O25" s="218"/>
      <c r="P25" s="218"/>
      <c r="Q25" s="226"/>
      <c r="R25" s="226"/>
      <c r="S25" s="218"/>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row>
    <row r="26" spans="1:43" ht="20.100000000000001" customHeight="1" x14ac:dyDescent="0.15">
      <c r="A26" s="216"/>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row>
    <row r="27" spans="1:43" ht="20.100000000000001" customHeight="1" x14ac:dyDescent="0.15">
      <c r="A27" s="216"/>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row>
    <row r="28" spans="1:43" ht="20.100000000000001" customHeight="1" x14ac:dyDescent="0.15">
      <c r="A28" s="216"/>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row>
    <row r="29" spans="1:43" ht="20.100000000000001" customHeight="1" x14ac:dyDescent="0.15">
      <c r="A29" s="216"/>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row>
    <row r="30" spans="1:43" ht="20.100000000000001" customHeight="1" x14ac:dyDescent="0.15">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row>
    <row r="31" spans="1:43" ht="20.100000000000001" customHeight="1" x14ac:dyDescent="0.15">
      <c r="A31" s="216"/>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row>
    <row r="32" spans="1:43" ht="20.100000000000001" customHeight="1" x14ac:dyDescent="0.15">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row>
    <row r="33" spans="1:43" ht="20.100000000000001" customHeight="1" x14ac:dyDescent="0.15">
      <c r="A33" s="216"/>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row>
    <row r="34" spans="1:43" ht="20.100000000000001" customHeight="1" x14ac:dyDescent="0.15">
      <c r="A34" s="216"/>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row>
    <row r="35" spans="1:43" ht="20.100000000000001" customHeight="1" x14ac:dyDescent="0.15">
      <c r="A35" s="216"/>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row>
    <row r="36" spans="1:43" ht="20.100000000000001" customHeight="1" x14ac:dyDescent="0.15">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row>
    <row r="37" spans="1:43" ht="20.100000000000001" customHeight="1" x14ac:dyDescent="0.15">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row>
    <row r="38" spans="1:43" ht="20.100000000000001" customHeight="1" x14ac:dyDescent="0.15">
      <c r="A38" s="216"/>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row>
    <row r="39" spans="1:43" ht="20.100000000000001" customHeight="1" x14ac:dyDescent="0.15">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row>
    <row r="40" spans="1:43" ht="20.100000000000001" customHeight="1" x14ac:dyDescent="0.15">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row>
    <row r="41" spans="1:43" ht="20.100000000000001" customHeight="1" x14ac:dyDescent="0.15">
      <c r="A41" s="216"/>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row>
    <row r="42" spans="1:43" ht="20.100000000000001" customHeight="1" x14ac:dyDescent="0.15">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row>
    <row r="43" spans="1:43" ht="20.100000000000001" customHeight="1" x14ac:dyDescent="0.15">
      <c r="A43" s="216"/>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row>
    <row r="44" spans="1:43" ht="20.100000000000001" customHeight="1" x14ac:dyDescent="0.15">
      <c r="A44" s="216"/>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row>
    <row r="45" spans="1:43" ht="20.100000000000001" customHeight="1" x14ac:dyDescent="0.15">
      <c r="A45" s="216"/>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row>
    <row r="46" spans="1:43" ht="20.100000000000001" customHeight="1" x14ac:dyDescent="0.15">
      <c r="A46" s="216"/>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row>
  </sheetData>
  <sheetProtection algorithmName="SHA-512" hashValue="9Ns/7lqQ5LvnsoTTSqxtjpppkRNbMvy5rHQHwKtFYB1i4nVciXYEm668Q18/j3jt0HVJ9oWbjuWiwks45PxskQ==" saltValue="txRSFjxA8+H2a243Xltvqw==" spinCount="100000" sheet="1" objects="1" scenarios="1"/>
  <mergeCells count="4">
    <mergeCell ref="P18:Q18"/>
    <mergeCell ref="P22:Q22"/>
    <mergeCell ref="C23:M23"/>
    <mergeCell ref="P23:Q23"/>
  </mergeCells>
  <hyperlinks>
    <hyperlink ref="P18:Q18" location="'1'!A1" tooltip="Reken zelf!" display="} klik hier" xr:uid="{F89806A2-285A-4FA6-9A46-79432063C57E}"/>
    <hyperlink ref="C23:L23" r:id="rId1" display="Tiensesteenweg 306 - 3000 Leuven - klantenservice@indicator.be" xr:uid="{54DCBD04-D9D4-412A-A0A5-EF8B40B34535}"/>
    <hyperlink ref="C23:M23" r:id="rId2" display="Maanweg 174 § 2516 AB Den Haag § e-mail de Klantenservice" xr:uid="{C66180BC-3066-482B-927F-C2601DEC1D77}"/>
    <hyperlink ref="P23:Q23" r:id="rId3" tooltip="https://www.sdu.nl/disclaimer" display="} disclaimer" xr:uid="{01F1C04C-38ED-4AB2-B655-0559FE79B1EA}"/>
  </hyperlinks>
  <pageMargins left="0.75" right="0.75" top="1" bottom="1" header="0.5" footer="0.5"/>
  <pageSetup paperSize="9" orientation="portrait" r:id="rId4"/>
  <headerFooter alignWithMargins="0"/>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L168"/>
  <sheetViews>
    <sheetView showGridLines="0" showRowColHeaders="0" zoomScaleNormal="100" workbookViewId="0">
      <selection activeCell="G2" sqref="G2"/>
    </sheetView>
  </sheetViews>
  <sheetFormatPr defaultRowHeight="15.95" customHeight="1" x14ac:dyDescent="0.15"/>
  <cols>
    <col min="1" max="1" width="5.7109375" style="14" customWidth="1"/>
    <col min="2" max="2" width="51.42578125" style="14" customWidth="1"/>
    <col min="3" max="3" width="24.28515625" style="14" customWidth="1"/>
    <col min="4" max="4" width="21.85546875" style="14" customWidth="1"/>
    <col min="5" max="5" width="25.7109375" style="14" customWidth="1"/>
    <col min="6" max="11" width="5.7109375" style="14" customWidth="1"/>
    <col min="12" max="12" width="9.28515625" style="14" hidden="1" customWidth="1"/>
    <col min="13" max="39" width="5.7109375" style="14" customWidth="1"/>
    <col min="40" max="16384" width="9.140625" style="14"/>
  </cols>
  <sheetData>
    <row r="1" spans="2:12" ht="15.95" customHeight="1" thickBot="1" x14ac:dyDescent="0.2">
      <c r="F1" s="15"/>
      <c r="G1" s="11"/>
      <c r="H1" s="12"/>
      <c r="I1" s="12"/>
      <c r="J1" s="12"/>
      <c r="L1" s="14">
        <v>2012</v>
      </c>
    </row>
    <row r="2" spans="2:12" ht="30" customHeight="1" x14ac:dyDescent="0.15">
      <c r="B2" s="232" t="s">
        <v>54</v>
      </c>
      <c r="C2" s="232"/>
      <c r="D2" s="232"/>
      <c r="E2" s="153">
        <v>2020</v>
      </c>
      <c r="F2" s="174" t="s">
        <v>39</v>
      </c>
      <c r="G2" s="1" t="s">
        <v>38</v>
      </c>
      <c r="H2" s="2" t="s">
        <v>39</v>
      </c>
      <c r="I2" s="3" t="s">
        <v>40</v>
      </c>
      <c r="J2" s="3" t="s">
        <v>41</v>
      </c>
      <c r="L2" s="14">
        <v>2013</v>
      </c>
    </row>
    <row r="3" spans="2:12" ht="15.95" customHeight="1" x14ac:dyDescent="0.15">
      <c r="F3" s="15"/>
      <c r="G3" s="4"/>
      <c r="H3" s="5"/>
      <c r="I3" s="5"/>
      <c r="J3" s="6"/>
      <c r="L3" s="14">
        <v>2014</v>
      </c>
    </row>
    <row r="4" spans="2:12" ht="15.95" customHeight="1" x14ac:dyDescent="0.15">
      <c r="B4" s="10" t="s">
        <v>42</v>
      </c>
      <c r="F4" s="15"/>
      <c r="G4" s="7"/>
      <c r="H4" s="8"/>
      <c r="I4" s="8"/>
      <c r="J4" s="9"/>
      <c r="L4" s="14">
        <v>2015</v>
      </c>
    </row>
    <row r="5" spans="2:12" ht="15.95" customHeight="1" x14ac:dyDescent="0.15">
      <c r="B5" s="16" t="s">
        <v>19</v>
      </c>
      <c r="E5" s="63"/>
      <c r="F5" s="62"/>
      <c r="G5" s="47" t="s">
        <v>39</v>
      </c>
      <c r="H5" s="17"/>
      <c r="I5" s="17"/>
      <c r="J5" s="17"/>
      <c r="L5" s="14">
        <v>2016</v>
      </c>
    </row>
    <row r="6" spans="2:12" ht="15.95" customHeight="1" x14ac:dyDescent="0.15">
      <c r="B6" s="16" t="s">
        <v>2</v>
      </c>
      <c r="E6" s="63"/>
      <c r="F6" s="62"/>
      <c r="G6" s="47" t="s">
        <v>39</v>
      </c>
      <c r="H6" s="17"/>
      <c r="I6" s="17"/>
      <c r="J6" s="17"/>
      <c r="L6" s="14">
        <v>2017</v>
      </c>
    </row>
    <row r="7" spans="2:12" ht="15.95" customHeight="1" x14ac:dyDescent="0.15">
      <c r="B7" s="16" t="s">
        <v>0</v>
      </c>
      <c r="E7" s="63"/>
      <c r="F7" s="62"/>
      <c r="G7" s="17"/>
      <c r="H7" s="17"/>
      <c r="I7" s="17"/>
      <c r="J7" s="17"/>
      <c r="L7" s="14">
        <v>2018</v>
      </c>
    </row>
    <row r="8" spans="2:12" ht="15.95" customHeight="1" x14ac:dyDescent="0.15">
      <c r="B8" s="16" t="s">
        <v>1</v>
      </c>
      <c r="E8" s="63"/>
      <c r="F8" s="62"/>
      <c r="G8" s="47" t="s">
        <v>39</v>
      </c>
      <c r="H8" s="17"/>
      <c r="I8" s="17"/>
      <c r="J8" s="17"/>
      <c r="L8" s="14">
        <v>2019</v>
      </c>
    </row>
    <row r="9" spans="2:12" ht="15.95" customHeight="1" x14ac:dyDescent="0.15">
      <c r="B9" s="16" t="s">
        <v>63</v>
      </c>
      <c r="E9" s="155">
        <v>36526</v>
      </c>
      <c r="F9" s="62"/>
      <c r="G9" s="17"/>
      <c r="H9" s="17"/>
      <c r="I9" s="17"/>
      <c r="J9" s="17"/>
      <c r="L9" s="14">
        <v>2020</v>
      </c>
    </row>
    <row r="10" spans="2:12" ht="15.95" hidden="1" customHeight="1" x14ac:dyDescent="0.15">
      <c r="B10" s="16" t="s">
        <v>3</v>
      </c>
      <c r="C10" s="70">
        <f ca="1">TODAY()</f>
        <v>43900</v>
      </c>
      <c r="D10" s="14">
        <f ca="1">YEARFRAC(E9,C10,1)</f>
        <v>20.186937817755183</v>
      </c>
      <c r="E10" s="64">
        <f ca="1">ROUNDDOWN(D10,0)</f>
        <v>20</v>
      </c>
      <c r="F10" s="62"/>
      <c r="G10" s="17"/>
      <c r="H10" s="17"/>
      <c r="I10" s="17"/>
      <c r="J10" s="17"/>
      <c r="L10" s="14">
        <v>2021</v>
      </c>
    </row>
    <row r="11" spans="2:12" ht="15.95" customHeight="1" x14ac:dyDescent="0.15">
      <c r="B11" s="16" t="s">
        <v>5</v>
      </c>
      <c r="E11" s="63"/>
      <c r="F11" s="62"/>
      <c r="G11" s="47" t="s">
        <v>39</v>
      </c>
      <c r="H11" s="17"/>
      <c r="I11" s="17"/>
      <c r="J11" s="17"/>
      <c r="L11" s="14">
        <v>2022</v>
      </c>
    </row>
    <row r="12" spans="2:12" ht="15.95" customHeight="1" x14ac:dyDescent="0.15">
      <c r="E12" s="18"/>
      <c r="F12" s="15"/>
      <c r="G12" s="17"/>
      <c r="H12" s="17"/>
      <c r="I12" s="17"/>
      <c r="J12" s="17"/>
      <c r="L12" s="14">
        <v>2023</v>
      </c>
    </row>
    <row r="13" spans="2:12" ht="15.95" customHeight="1" x14ac:dyDescent="0.15">
      <c r="B13" s="10" t="s">
        <v>43</v>
      </c>
      <c r="E13" s="18"/>
      <c r="F13" s="15"/>
      <c r="G13" s="17"/>
      <c r="H13" s="17"/>
      <c r="I13" s="17"/>
      <c r="J13" s="17"/>
      <c r="L13" s="14">
        <v>2024</v>
      </c>
    </row>
    <row r="14" spans="2:12" ht="15.95" customHeight="1" x14ac:dyDescent="0.15">
      <c r="B14" s="16" t="s">
        <v>4</v>
      </c>
      <c r="E14" s="71"/>
      <c r="F14" s="15"/>
      <c r="G14" s="17"/>
      <c r="H14" s="17"/>
      <c r="I14" s="17"/>
      <c r="J14" s="17"/>
      <c r="L14" s="14">
        <v>2025</v>
      </c>
    </row>
    <row r="15" spans="2:12" ht="15.95" customHeight="1" x14ac:dyDescent="0.15">
      <c r="B15" s="16" t="s">
        <v>7</v>
      </c>
      <c r="E15" s="72">
        <v>0.01</v>
      </c>
      <c r="F15" s="15"/>
      <c r="G15" s="17"/>
      <c r="H15" s="17"/>
      <c r="I15" s="17"/>
      <c r="J15" s="17"/>
    </row>
    <row r="16" spans="2:12" ht="15.95" customHeight="1" x14ac:dyDescent="0.15">
      <c r="B16" s="16" t="s">
        <v>30</v>
      </c>
      <c r="E16" s="72">
        <v>0.3</v>
      </c>
      <c r="F16" s="15"/>
      <c r="G16" s="17"/>
      <c r="H16" s="17"/>
      <c r="I16" s="17"/>
      <c r="J16" s="17"/>
    </row>
    <row r="17" spans="1:10" ht="15.95" hidden="1" customHeight="1" x14ac:dyDescent="0.15">
      <c r="B17" s="51" t="s">
        <v>46</v>
      </c>
      <c r="C17" s="15"/>
      <c r="E17" s="72">
        <v>0.33</v>
      </c>
      <c r="F17" s="15"/>
      <c r="G17" s="17"/>
      <c r="H17" s="17"/>
      <c r="I17" s="17"/>
      <c r="J17" s="17"/>
    </row>
    <row r="18" spans="1:10" ht="15.95" customHeight="1" x14ac:dyDescent="0.15">
      <c r="B18" s="16" t="s">
        <v>6</v>
      </c>
      <c r="E18" s="132">
        <f>'Calc 1a'!H1</f>
        <v>67.25</v>
      </c>
      <c r="F18" s="15"/>
      <c r="G18" s="17"/>
      <c r="H18" s="17"/>
      <c r="I18" s="17"/>
      <c r="J18" s="17"/>
    </row>
    <row r="19" spans="1:10" ht="15.95" customHeight="1" x14ac:dyDescent="0.15">
      <c r="E19" s="15"/>
      <c r="F19" s="15"/>
      <c r="G19" s="17"/>
      <c r="H19" s="17"/>
      <c r="I19" s="17"/>
      <c r="J19" s="17"/>
    </row>
    <row r="20" spans="1:10" ht="15.95" customHeight="1" x14ac:dyDescent="0.15">
      <c r="B20" s="10" t="s">
        <v>55</v>
      </c>
      <c r="D20" s="52" t="s">
        <v>53</v>
      </c>
      <c r="E20" s="52" t="s">
        <v>22</v>
      </c>
      <c r="F20" s="15"/>
      <c r="G20" s="17"/>
      <c r="H20" s="17"/>
      <c r="I20" s="17"/>
      <c r="J20" s="17"/>
    </row>
    <row r="21" spans="1:10" ht="15.95" customHeight="1" x14ac:dyDescent="0.15">
      <c r="C21" s="53" t="s">
        <v>51</v>
      </c>
      <c r="D21" s="56">
        <f ca="1">+E72</f>
        <v>0</v>
      </c>
      <c r="E21" s="55" t="str">
        <f>+E74</f>
        <v>nvt</v>
      </c>
      <c r="F21" s="15"/>
      <c r="G21" s="17"/>
      <c r="H21" s="17"/>
      <c r="I21" s="17"/>
      <c r="J21" s="17"/>
    </row>
    <row r="22" spans="1:10" ht="15.95" customHeight="1" x14ac:dyDescent="0.15">
      <c r="C22" s="53" t="s">
        <v>62</v>
      </c>
      <c r="D22" s="56">
        <f ca="1">+E117</f>
        <v>0</v>
      </c>
      <c r="E22" s="55" t="str">
        <f>+E119</f>
        <v>nvt</v>
      </c>
      <c r="F22" s="15"/>
      <c r="G22" s="17"/>
      <c r="H22" s="17"/>
      <c r="I22" s="17"/>
      <c r="J22" s="17"/>
    </row>
    <row r="23" spans="1:10" ht="15.95" customHeight="1" x14ac:dyDescent="0.15">
      <c r="C23" s="53" t="s">
        <v>52</v>
      </c>
      <c r="D23" s="56">
        <f ca="1">+E164</f>
        <v>0</v>
      </c>
      <c r="E23" s="55" t="str">
        <f>+E166</f>
        <v>nvt</v>
      </c>
      <c r="F23" s="15"/>
      <c r="G23" s="17"/>
      <c r="H23" s="17"/>
      <c r="I23" s="17"/>
      <c r="J23" s="17"/>
    </row>
    <row r="24" spans="1:10" ht="15.95" customHeight="1" thickBot="1" x14ac:dyDescent="0.2">
      <c r="E24" s="15"/>
      <c r="F24" s="15"/>
      <c r="G24" s="17"/>
      <c r="H24" s="17"/>
      <c r="I24" s="17"/>
      <c r="J24" s="17"/>
    </row>
    <row r="25" spans="1:10" ht="15.75" customHeight="1" thickTop="1" x14ac:dyDescent="0.15">
      <c r="B25" s="13" t="s">
        <v>56</v>
      </c>
      <c r="C25" s="19"/>
      <c r="D25" s="19"/>
      <c r="E25" s="20"/>
      <c r="F25" s="15"/>
      <c r="G25" s="17"/>
      <c r="H25" s="17"/>
      <c r="I25" s="17"/>
      <c r="J25" s="17"/>
    </row>
    <row r="26" spans="1:10" ht="18" customHeight="1" x14ac:dyDescent="0.15">
      <c r="A26" s="61"/>
      <c r="B26" s="65"/>
      <c r="C26" s="59"/>
      <c r="D26" s="59"/>
      <c r="E26" s="66"/>
      <c r="F26" s="62"/>
      <c r="G26" s="47" t="s">
        <v>39</v>
      </c>
      <c r="H26" s="17"/>
      <c r="I26" s="17"/>
      <c r="J26" s="17"/>
    </row>
    <row r="27" spans="1:10" ht="18" customHeight="1" x14ac:dyDescent="0.15">
      <c r="A27" s="61"/>
      <c r="B27" s="58" t="s">
        <v>126</v>
      </c>
      <c r="C27" s="59"/>
      <c r="D27" s="59"/>
      <c r="E27" s="134">
        <v>36526</v>
      </c>
      <c r="F27" s="62"/>
      <c r="G27" s="17"/>
      <c r="H27" s="17"/>
      <c r="I27" s="17"/>
      <c r="J27" s="17"/>
    </row>
    <row r="28" spans="1:10" ht="18" customHeight="1" x14ac:dyDescent="0.15">
      <c r="A28" s="61"/>
      <c r="B28" s="58" t="s">
        <v>47</v>
      </c>
      <c r="C28" s="67"/>
      <c r="D28" s="67"/>
      <c r="E28" s="68"/>
      <c r="F28" s="61"/>
      <c r="G28" s="47" t="s">
        <v>39</v>
      </c>
      <c r="H28" s="17"/>
      <c r="I28" s="17"/>
      <c r="J28" s="17"/>
    </row>
    <row r="29" spans="1:10" ht="18" customHeight="1" x14ac:dyDescent="0.15">
      <c r="A29" s="61"/>
      <c r="B29" s="58" t="s">
        <v>48</v>
      </c>
      <c r="C29" s="67"/>
      <c r="D29" s="67"/>
      <c r="E29" s="69"/>
      <c r="F29" s="61"/>
      <c r="G29" s="47" t="s">
        <v>39</v>
      </c>
      <c r="H29" s="17"/>
      <c r="I29" s="17"/>
      <c r="J29" s="17"/>
    </row>
    <row r="30" spans="1:10" ht="15.95" customHeight="1" x14ac:dyDescent="0.15">
      <c r="B30" s="21"/>
      <c r="C30" s="22"/>
      <c r="D30" s="22"/>
      <c r="E30" s="23"/>
      <c r="G30" s="17"/>
      <c r="H30" s="17"/>
      <c r="I30" s="17"/>
      <c r="J30" s="17"/>
    </row>
    <row r="31" spans="1:10" ht="15.95" customHeight="1" x14ac:dyDescent="0.15">
      <c r="B31" s="21" t="s">
        <v>19</v>
      </c>
      <c r="C31" s="22"/>
      <c r="D31" s="22"/>
      <c r="E31" s="24">
        <f>'1'!E5</f>
        <v>0</v>
      </c>
      <c r="G31" s="17"/>
      <c r="H31" s="17"/>
      <c r="I31" s="17"/>
      <c r="J31" s="17"/>
    </row>
    <row r="32" spans="1:10" ht="15.95" customHeight="1" x14ac:dyDescent="0.15">
      <c r="B32" s="21" t="s">
        <v>2</v>
      </c>
      <c r="C32" s="22"/>
      <c r="D32" s="22"/>
      <c r="E32" s="24">
        <f>'1'!E6</f>
        <v>0</v>
      </c>
      <c r="G32" s="17"/>
      <c r="H32" s="17"/>
      <c r="I32" s="17"/>
      <c r="J32" s="17"/>
    </row>
    <row r="33" spans="2:12" ht="15.95" customHeight="1" x14ac:dyDescent="0.15">
      <c r="B33" s="21" t="s">
        <v>23</v>
      </c>
      <c r="C33" s="22"/>
      <c r="D33" s="22"/>
      <c r="E33" s="24">
        <f>-IF(E29&gt;=5000,E29,0)</f>
        <v>0</v>
      </c>
      <c r="G33" s="17"/>
      <c r="H33" s="17"/>
      <c r="I33" s="17"/>
      <c r="J33" s="17"/>
    </row>
    <row r="34" spans="2:12" ht="15.95" customHeight="1" x14ac:dyDescent="0.15">
      <c r="B34" s="25" t="s">
        <v>27</v>
      </c>
      <c r="C34" s="26"/>
      <c r="D34" s="26"/>
      <c r="E34" s="27">
        <f>E31+E32+E33</f>
        <v>0</v>
      </c>
      <c r="G34" s="17"/>
      <c r="H34" s="17"/>
      <c r="I34" s="17"/>
      <c r="J34" s="17"/>
    </row>
    <row r="35" spans="2:12" ht="15.95" customHeight="1" x14ac:dyDescent="0.15">
      <c r="B35" s="21"/>
      <c r="C35" s="22"/>
      <c r="D35" s="22"/>
      <c r="E35" s="24"/>
      <c r="G35" s="17"/>
      <c r="H35" s="17"/>
      <c r="I35" s="17"/>
      <c r="J35" s="17"/>
    </row>
    <row r="36" spans="2:12" ht="15.95" customHeight="1" x14ac:dyDescent="0.15">
      <c r="B36" s="21" t="s">
        <v>11</v>
      </c>
      <c r="C36" s="22"/>
      <c r="D36" s="22"/>
      <c r="E36" s="24">
        <f>-1*'Calc 1a'!D37</f>
        <v>0</v>
      </c>
      <c r="G36" s="17"/>
      <c r="H36" s="17"/>
      <c r="I36" s="17"/>
      <c r="J36" s="17"/>
    </row>
    <row r="37" spans="2:12" ht="15.95" customHeight="1" x14ac:dyDescent="0.15">
      <c r="B37" s="21" t="s">
        <v>13</v>
      </c>
      <c r="C37" s="22"/>
      <c r="D37" s="22"/>
      <c r="E37" s="24">
        <f>-1*'Calc 1a'!D50</f>
        <v>0</v>
      </c>
      <c r="G37" s="17"/>
      <c r="H37" s="17"/>
      <c r="I37" s="17"/>
      <c r="J37" s="17"/>
      <c r="L37" s="57"/>
    </row>
    <row r="38" spans="2:12" ht="15.95" customHeight="1" x14ac:dyDescent="0.15">
      <c r="B38" s="21" t="s">
        <v>14</v>
      </c>
      <c r="C38" s="22"/>
      <c r="D38" s="22"/>
      <c r="E38" s="24">
        <f>-1*'Calc 1a'!D40</f>
        <v>0</v>
      </c>
      <c r="G38" s="17"/>
      <c r="H38" s="17"/>
      <c r="I38" s="17"/>
      <c r="J38" s="17"/>
      <c r="L38" s="57"/>
    </row>
    <row r="39" spans="2:12" ht="15.95" customHeight="1" x14ac:dyDescent="0.15">
      <c r="B39" s="21" t="s">
        <v>21</v>
      </c>
      <c r="C39" s="22"/>
      <c r="D39" s="22"/>
      <c r="E39" s="24">
        <f>IF(AND(E29&lt;5001,E28&gt;524),-1*'Calc 1a'!D59,0)</f>
        <v>0</v>
      </c>
      <c r="G39" s="17"/>
      <c r="H39" s="17"/>
      <c r="I39" s="17"/>
      <c r="J39" s="17"/>
    </row>
    <row r="40" spans="2:12" ht="15.95" customHeight="1" x14ac:dyDescent="0.15">
      <c r="B40" s="25" t="s">
        <v>20</v>
      </c>
      <c r="C40" s="26"/>
      <c r="D40" s="26"/>
      <c r="E40" s="27">
        <f>SUM(E36:E39)</f>
        <v>0</v>
      </c>
      <c r="G40" s="17"/>
      <c r="H40" s="17"/>
      <c r="I40" s="17"/>
      <c r="J40" s="17"/>
    </row>
    <row r="41" spans="2:12" ht="15.95" customHeight="1" x14ac:dyDescent="0.15">
      <c r="B41" s="21"/>
      <c r="C41" s="22"/>
      <c r="D41" s="22"/>
      <c r="E41" s="24"/>
      <c r="G41" s="17"/>
      <c r="H41" s="17"/>
      <c r="I41" s="17"/>
      <c r="J41" s="17"/>
    </row>
    <row r="42" spans="2:12" ht="15.95" customHeight="1" x14ac:dyDescent="0.15">
      <c r="B42" s="21" t="s">
        <v>8</v>
      </c>
      <c r="C42" s="22"/>
      <c r="D42" s="22"/>
      <c r="E42" s="24">
        <f>'Calc 1a'!D52</f>
        <v>0</v>
      </c>
      <c r="G42" s="17"/>
      <c r="H42" s="17"/>
      <c r="I42" s="17"/>
      <c r="J42" s="17"/>
    </row>
    <row r="43" spans="2:12" ht="15.95" customHeight="1" x14ac:dyDescent="0.15">
      <c r="B43" s="21" t="s">
        <v>1</v>
      </c>
      <c r="C43" s="22"/>
      <c r="D43" s="22"/>
      <c r="E43" s="24">
        <f>-'1'!E8</f>
        <v>0</v>
      </c>
      <c r="G43" s="17"/>
      <c r="H43" s="17"/>
      <c r="I43" s="17"/>
      <c r="J43" s="17"/>
    </row>
    <row r="44" spans="2:12" ht="15.95" customHeight="1" x14ac:dyDescent="0.15">
      <c r="B44" s="25" t="s">
        <v>25</v>
      </c>
      <c r="C44" s="26"/>
      <c r="D44" s="26"/>
      <c r="E44" s="27">
        <f>E42+E43</f>
        <v>0</v>
      </c>
      <c r="G44" s="17"/>
      <c r="H44" s="17"/>
      <c r="I44" s="17"/>
      <c r="J44" s="17"/>
      <c r="K44" s="15"/>
      <c r="L44" s="15"/>
    </row>
    <row r="45" spans="2:12" ht="15.95" customHeight="1" x14ac:dyDescent="0.15">
      <c r="B45" s="21"/>
      <c r="C45" s="22"/>
      <c r="D45" s="22"/>
      <c r="E45" s="24"/>
      <c r="G45" s="17"/>
      <c r="H45" s="17"/>
      <c r="I45" s="17"/>
      <c r="J45" s="17"/>
    </row>
    <row r="46" spans="2:12" ht="15.95" customHeight="1" x14ac:dyDescent="0.15">
      <c r="B46" s="21" t="s">
        <v>24</v>
      </c>
      <c r="C46" s="22"/>
      <c r="D46" s="22"/>
      <c r="E46" s="24">
        <f>E34+E40+E44</f>
        <v>0</v>
      </c>
      <c r="G46" s="17"/>
      <c r="H46" s="17"/>
      <c r="I46" s="17"/>
      <c r="J46" s="17"/>
    </row>
    <row r="47" spans="2:12" ht="15.95" customHeight="1" x14ac:dyDescent="0.15">
      <c r="B47" s="48" t="s">
        <v>49</v>
      </c>
      <c r="C47" s="22"/>
      <c r="D47" s="22"/>
      <c r="E47" s="24">
        <f>IF(E29&lt;5001,0,E29)</f>
        <v>0</v>
      </c>
      <c r="G47" s="17"/>
      <c r="H47" s="17"/>
      <c r="I47" s="17"/>
      <c r="J47" s="17"/>
    </row>
    <row r="48" spans="2:12" ht="15.95" customHeight="1" x14ac:dyDescent="0.15">
      <c r="B48" s="25" t="s">
        <v>15</v>
      </c>
      <c r="C48" s="26"/>
      <c r="D48" s="26"/>
      <c r="E48" s="27">
        <f>E46+E47</f>
        <v>0</v>
      </c>
      <c r="G48" s="17"/>
      <c r="H48" s="17"/>
      <c r="I48" s="17"/>
      <c r="J48" s="17"/>
    </row>
    <row r="49" spans="2:10" ht="15.95" customHeight="1" x14ac:dyDescent="0.15">
      <c r="B49" s="21"/>
      <c r="C49" s="22"/>
      <c r="D49" s="22"/>
      <c r="E49" s="24"/>
      <c r="G49" s="17"/>
      <c r="H49" s="17"/>
      <c r="I49" s="17"/>
      <c r="J49" s="17"/>
    </row>
    <row r="50" spans="2:10" ht="15.95" customHeight="1" x14ac:dyDescent="0.15">
      <c r="B50" s="21" t="s">
        <v>16</v>
      </c>
      <c r="C50" s="156"/>
      <c r="D50" s="22"/>
      <c r="E50" s="24">
        <f ca="1">'Calc 1a'!D12</f>
        <v>0</v>
      </c>
      <c r="G50" s="17"/>
      <c r="H50" s="17"/>
      <c r="I50" s="17"/>
      <c r="J50" s="17"/>
    </row>
    <row r="51" spans="2:10" ht="11.25" x14ac:dyDescent="0.15">
      <c r="B51" s="166" t="s">
        <v>76</v>
      </c>
      <c r="C51" s="159">
        <f>IF(E46&gt;'Calc 1a'!B8,'Calc 1a'!B8,E46)</f>
        <v>0</v>
      </c>
      <c r="D51" s="160">
        <f ca="1">'Calc 1a'!C8</f>
        <v>0.3735</v>
      </c>
      <c r="E51" s="158">
        <f ca="1">C51*D51</f>
        <v>0</v>
      </c>
      <c r="G51" s="17"/>
      <c r="H51" s="17"/>
      <c r="I51" s="17"/>
      <c r="J51" s="17"/>
    </row>
    <row r="52" spans="2:10" ht="11.25" x14ac:dyDescent="0.15">
      <c r="B52" s="166" t="s">
        <v>77</v>
      </c>
      <c r="C52" s="159">
        <f>MAX(IF($E$46&gt;'Calc 1a'!B9,('Calc 1a'!B9-'Calc 1a'!B8),($E$46-'Calc 1a'!B8)),0)</f>
        <v>0</v>
      </c>
      <c r="D52" s="160">
        <f ca="1">'Calc 1a'!C9</f>
        <v>0.3735</v>
      </c>
      <c r="E52" s="158">
        <f t="shared" ref="E52:E54" ca="1" si="0">C52*D52</f>
        <v>0</v>
      </c>
      <c r="G52" s="17"/>
      <c r="H52" s="17"/>
      <c r="I52" s="17"/>
      <c r="J52" s="17"/>
    </row>
    <row r="53" spans="2:10" ht="11.25" x14ac:dyDescent="0.15">
      <c r="B53" s="166" t="s">
        <v>78</v>
      </c>
      <c r="C53" s="159">
        <f>MAX(IF($E$46&gt;'Calc 1a'!B10,('Calc 1a'!B10-'Calc 1a'!B9),($E$46-'Calc 1a'!B9)),0)</f>
        <v>0</v>
      </c>
      <c r="D53" s="160">
        <f ca="1">'Calc 1a'!C10</f>
        <v>0.3735</v>
      </c>
      <c r="E53" s="158">
        <f t="shared" ca="1" si="0"/>
        <v>0</v>
      </c>
      <c r="G53" s="17"/>
      <c r="H53" s="17"/>
      <c r="I53" s="17"/>
      <c r="J53" s="17"/>
    </row>
    <row r="54" spans="2:10" ht="11.25" x14ac:dyDescent="0.15">
      <c r="B54" s="166" t="s">
        <v>79</v>
      </c>
      <c r="C54" s="159">
        <f>MAX(IF($E$46&gt;'Calc 1a'!B11,('Calc 1a'!B11-'Calc 1a'!B10),($E$46-'Calc 1a'!B10)),0)</f>
        <v>0</v>
      </c>
      <c r="D54" s="160">
        <f ca="1">'Calc 1a'!C11</f>
        <v>0.495</v>
      </c>
      <c r="E54" s="158">
        <f t="shared" ca="1" si="0"/>
        <v>0</v>
      </c>
      <c r="G54" s="17"/>
      <c r="H54" s="17"/>
      <c r="I54" s="17"/>
      <c r="J54" s="17"/>
    </row>
    <row r="55" spans="2:10" ht="11.25" x14ac:dyDescent="0.15">
      <c r="B55" s="166"/>
      <c r="C55" s="159"/>
      <c r="D55" s="160"/>
      <c r="E55" s="158"/>
      <c r="G55" s="17"/>
      <c r="H55" s="17"/>
      <c r="I55" s="17"/>
      <c r="J55" s="17"/>
    </row>
    <row r="56" spans="2:10" ht="15.95" customHeight="1" x14ac:dyDescent="0.15">
      <c r="B56" s="21" t="s">
        <v>67</v>
      </c>
      <c r="C56" s="22"/>
      <c r="D56" s="22"/>
      <c r="E56" s="24">
        <f ca="1">-1*'Calc 1a'!D24</f>
        <v>0</v>
      </c>
      <c r="G56" s="17"/>
      <c r="H56" s="17"/>
      <c r="I56" s="17"/>
      <c r="J56" s="17"/>
    </row>
    <row r="57" spans="2:10" ht="15.95" customHeight="1" x14ac:dyDescent="0.15">
      <c r="B57" s="21"/>
      <c r="C57" s="22"/>
      <c r="D57" s="22"/>
      <c r="E57" s="24"/>
      <c r="G57" s="17"/>
      <c r="H57" s="17"/>
      <c r="I57" s="17"/>
      <c r="J57" s="17"/>
    </row>
    <row r="58" spans="2:10" ht="15.95" customHeight="1" x14ac:dyDescent="0.15">
      <c r="B58" s="21" t="s">
        <v>64</v>
      </c>
      <c r="C58" s="22"/>
      <c r="D58" s="22"/>
      <c r="E58" s="150">
        <f>-1*MAX('Calc 1a'!D32,0)</f>
        <v>0</v>
      </c>
      <c r="G58" s="17"/>
      <c r="H58" s="17"/>
      <c r="I58" s="17"/>
      <c r="J58" s="17"/>
    </row>
    <row r="59" spans="2:10" ht="11.25" x14ac:dyDescent="0.15">
      <c r="B59" s="166" t="str">
        <f>'Calc 1a'!$A$28</f>
        <v>schijf 1</v>
      </c>
      <c r="C59" s="168">
        <f>'Calc 1a'!$B$28</f>
        <v>9921</v>
      </c>
      <c r="D59" s="214">
        <f>'Calc 1a'!$C$28</f>
        <v>2.8119999999999999E-2</v>
      </c>
      <c r="E59" s="167">
        <f>'Calc 1a'!$D$28</f>
        <v>0</v>
      </c>
      <c r="G59" s="17"/>
      <c r="H59" s="17"/>
      <c r="I59" s="17"/>
      <c r="J59" s="17"/>
    </row>
    <row r="60" spans="2:10" ht="11.25" x14ac:dyDescent="0.15">
      <c r="B60" s="166" t="str">
        <f>'Calc 1a'!$A$29</f>
        <v>schijf 2</v>
      </c>
      <c r="C60" s="168">
        <f>'Calc 1a'!$B$29</f>
        <v>21430</v>
      </c>
      <c r="D60" s="214">
        <f>'Calc 1a'!$C$29</f>
        <v>0.28811999999999999</v>
      </c>
      <c r="E60" s="167">
        <f>'Calc 1a'!$D$29</f>
        <v>0</v>
      </c>
      <c r="G60" s="17"/>
      <c r="H60" s="17"/>
      <c r="I60" s="17"/>
      <c r="J60" s="17"/>
    </row>
    <row r="61" spans="2:10" ht="11.25" x14ac:dyDescent="0.15">
      <c r="B61" s="166" t="str">
        <f>'Calc 1a'!$A$30</f>
        <v>schijf 3</v>
      </c>
      <c r="C61" s="168">
        <f>'Calc 1a'!$B$30</f>
        <v>34954</v>
      </c>
      <c r="D61" s="214">
        <f>'Calc 1a'!$C$30</f>
        <v>1.6559999999999998E-2</v>
      </c>
      <c r="E61" s="167">
        <f>'Calc 1a'!$D$30</f>
        <v>0</v>
      </c>
      <c r="G61" s="17"/>
      <c r="H61" s="17"/>
      <c r="I61" s="17"/>
      <c r="J61" s="17"/>
    </row>
    <row r="62" spans="2:10" ht="11.25" x14ac:dyDescent="0.15">
      <c r="B62" s="166" t="str">
        <f>'Calc 1a'!$A$31</f>
        <v>schijf 4</v>
      </c>
      <c r="C62" s="168">
        <f>'Calc 1a'!$B$31</f>
        <v>98604</v>
      </c>
      <c r="D62" s="214">
        <f>'Calc 1a'!$C$31</f>
        <v>-0.06</v>
      </c>
      <c r="E62" s="167">
        <f>'Calc 1a'!$D$31</f>
        <v>0</v>
      </c>
      <c r="G62" s="17"/>
      <c r="H62" s="17"/>
      <c r="I62" s="17"/>
      <c r="J62" s="17"/>
    </row>
    <row r="63" spans="2:10" ht="11.25" x14ac:dyDescent="0.15">
      <c r="B63" s="166" t="str">
        <f>'Calc 1a'!$A$32</f>
        <v>Max/Min</v>
      </c>
      <c r="C63" s="168">
        <f>'Calc 1a'!$B$32</f>
        <v>3819</v>
      </c>
      <c r="D63" s="168">
        <f>'Calc 1a'!$C$32</f>
        <v>0</v>
      </c>
      <c r="E63" s="167">
        <f>'Calc 1a'!$D$32</f>
        <v>0</v>
      </c>
      <c r="G63" s="17"/>
      <c r="H63" s="17"/>
      <c r="I63" s="17"/>
      <c r="J63" s="17"/>
    </row>
    <row r="64" spans="2:10" ht="11.25" x14ac:dyDescent="0.15">
      <c r="B64" s="166"/>
      <c r="C64" s="168"/>
      <c r="D64" s="168"/>
      <c r="E64" s="167"/>
      <c r="G64" s="17"/>
      <c r="H64" s="17"/>
      <c r="I64" s="17"/>
      <c r="J64" s="17"/>
    </row>
    <row r="65" spans="1:10" ht="15.95" customHeight="1" x14ac:dyDescent="0.15">
      <c r="B65" s="21" t="s">
        <v>68</v>
      </c>
      <c r="C65" s="22"/>
      <c r="D65" s="22"/>
      <c r="E65" s="24">
        <f>'Calc 1a'!D35</f>
        <v>0</v>
      </c>
      <c r="G65" s="17"/>
      <c r="H65" s="17"/>
      <c r="I65" s="17"/>
      <c r="J65" s="17"/>
    </row>
    <row r="66" spans="1:10" ht="15.95" customHeight="1" x14ac:dyDescent="0.15">
      <c r="B66" s="21"/>
      <c r="C66" s="22"/>
      <c r="D66" s="22"/>
      <c r="E66" s="24"/>
      <c r="G66" s="17"/>
      <c r="H66" s="17"/>
      <c r="I66" s="17"/>
      <c r="J66" s="17"/>
    </row>
    <row r="67" spans="1:10" ht="15.95" customHeight="1" x14ac:dyDescent="0.15">
      <c r="B67" s="28" t="s">
        <v>17</v>
      </c>
      <c r="C67" s="22"/>
      <c r="D67" s="22"/>
      <c r="E67" s="24">
        <f>-1*E37*'1'!E16</f>
        <v>0</v>
      </c>
      <c r="G67" s="47" t="s">
        <v>39</v>
      </c>
      <c r="H67" s="17"/>
      <c r="I67" s="17"/>
      <c r="J67" s="17"/>
    </row>
    <row r="68" spans="1:10" ht="15.95" customHeight="1" x14ac:dyDescent="0.15">
      <c r="B68" s="21" t="s">
        <v>26</v>
      </c>
      <c r="C68" s="22"/>
      <c r="D68" s="22"/>
      <c r="E68" s="24">
        <f ca="1">E67*'Calc 1a'!D65</f>
        <v>0</v>
      </c>
      <c r="G68" s="47" t="s">
        <v>39</v>
      </c>
      <c r="H68" s="17"/>
      <c r="I68" s="17"/>
      <c r="J68" s="17"/>
    </row>
    <row r="69" spans="1:10" ht="15.95" customHeight="1" x14ac:dyDescent="0.15">
      <c r="B69" s="21"/>
      <c r="C69" s="22"/>
      <c r="D69" s="22"/>
      <c r="E69" s="24"/>
      <c r="G69" s="17"/>
      <c r="H69" s="17"/>
      <c r="I69" s="17"/>
      <c r="J69" s="17"/>
    </row>
    <row r="70" spans="1:10" ht="15.95" customHeight="1" x14ac:dyDescent="0.15">
      <c r="B70" s="48" t="s">
        <v>50</v>
      </c>
      <c r="C70" s="22"/>
      <c r="D70" s="22"/>
      <c r="E70" s="24">
        <f ca="1">MAX('Calc 1b'!D12-'Calc 1b'!D32-'Calc 1b'!D24,0)</f>
        <v>0</v>
      </c>
      <c r="G70" s="17"/>
      <c r="H70" s="17"/>
      <c r="I70" s="17"/>
      <c r="J70" s="17"/>
    </row>
    <row r="71" spans="1:10" ht="15.95" customHeight="1" x14ac:dyDescent="0.15">
      <c r="B71" s="48"/>
      <c r="C71" s="22"/>
      <c r="D71" s="22"/>
      <c r="E71" s="24"/>
      <c r="G71" s="17"/>
      <c r="H71" s="17"/>
      <c r="I71" s="17"/>
      <c r="J71" s="17"/>
    </row>
    <row r="72" spans="1:10" ht="15.95" customHeight="1" x14ac:dyDescent="0.15">
      <c r="B72" s="25" t="s">
        <v>15</v>
      </c>
      <c r="C72" s="26"/>
      <c r="D72" s="26"/>
      <c r="E72" s="27">
        <f ca="1">E50+E56+E58+E65+E70+E68</f>
        <v>0</v>
      </c>
      <c r="G72" s="17"/>
      <c r="H72" s="17"/>
      <c r="I72" s="17"/>
      <c r="J72" s="17"/>
    </row>
    <row r="73" spans="1:10" ht="15.95" customHeight="1" x14ac:dyDescent="0.15">
      <c r="B73" s="21"/>
      <c r="C73" s="22"/>
      <c r="D73" s="22"/>
      <c r="E73" s="24"/>
      <c r="G73" s="17"/>
      <c r="H73" s="17"/>
      <c r="I73" s="17"/>
      <c r="J73" s="17"/>
    </row>
    <row r="74" spans="1:10" ht="15.95" customHeight="1" thickBot="1" x14ac:dyDescent="0.2">
      <c r="B74" s="29" t="s">
        <v>18</v>
      </c>
      <c r="C74" s="30"/>
      <c r="D74" s="30"/>
      <c r="E74" s="31" t="str">
        <f>IF(E31&gt;0,E72/E31,"nvt")</f>
        <v>nvt</v>
      </c>
      <c r="G74" s="17"/>
      <c r="H74" s="17"/>
      <c r="I74" s="17"/>
      <c r="J74" s="17"/>
    </row>
    <row r="75" spans="1:10" ht="15.95" customHeight="1" thickTop="1" thickBot="1" x14ac:dyDescent="0.2">
      <c r="G75" s="17"/>
      <c r="H75" s="17"/>
      <c r="I75" s="17"/>
      <c r="J75" s="17"/>
    </row>
    <row r="76" spans="1:10" ht="15.95" customHeight="1" thickTop="1" x14ac:dyDescent="0.15">
      <c r="B76" s="13" t="s">
        <v>57</v>
      </c>
      <c r="C76" s="19"/>
      <c r="D76" s="19"/>
      <c r="E76" s="20"/>
      <c r="G76" s="17"/>
      <c r="H76" s="17"/>
      <c r="I76" s="17"/>
      <c r="J76" s="17"/>
    </row>
    <row r="77" spans="1:10" ht="18" customHeight="1" x14ac:dyDescent="0.15">
      <c r="A77" s="61"/>
      <c r="B77" s="58" t="s">
        <v>58</v>
      </c>
      <c r="C77" s="59"/>
      <c r="D77" s="59"/>
      <c r="E77" s="60"/>
      <c r="F77" s="61"/>
      <c r="G77" s="17"/>
      <c r="H77" s="17"/>
      <c r="I77" s="17"/>
      <c r="J77" s="17"/>
    </row>
    <row r="78" spans="1:10" ht="18" customHeight="1" x14ac:dyDescent="0.15">
      <c r="A78" s="61"/>
      <c r="B78" s="58" t="s">
        <v>59</v>
      </c>
      <c r="C78" s="59"/>
      <c r="D78" s="59"/>
      <c r="E78" s="54">
        <f>100%-E77</f>
        <v>1</v>
      </c>
      <c r="F78" s="61"/>
      <c r="G78" s="17"/>
      <c r="H78" s="17"/>
      <c r="I78" s="17"/>
      <c r="J78" s="17"/>
    </row>
    <row r="79" spans="1:10" ht="15.95" customHeight="1" x14ac:dyDescent="0.15">
      <c r="B79" s="58" t="s">
        <v>127</v>
      </c>
      <c r="C79" s="22"/>
      <c r="D79" s="22"/>
      <c r="E79" s="154">
        <f>E27</f>
        <v>36526</v>
      </c>
      <c r="G79" s="17"/>
      <c r="H79" s="17"/>
      <c r="I79" s="17"/>
      <c r="J79" s="17"/>
    </row>
    <row r="80" spans="1:10" ht="15.95" customHeight="1" x14ac:dyDescent="0.15">
      <c r="B80" s="48"/>
      <c r="C80" s="22"/>
      <c r="D80" s="22"/>
      <c r="E80" s="23"/>
      <c r="G80" s="17"/>
      <c r="H80" s="17"/>
      <c r="I80" s="17"/>
      <c r="J80" s="17"/>
    </row>
    <row r="81" spans="2:12" ht="15.95" customHeight="1" x14ac:dyDescent="0.15">
      <c r="B81" s="21"/>
      <c r="C81" s="49" t="s">
        <v>61</v>
      </c>
      <c r="D81" s="50" t="s">
        <v>60</v>
      </c>
      <c r="E81" s="32" t="s">
        <v>15</v>
      </c>
      <c r="G81" s="17"/>
      <c r="H81" s="17"/>
      <c r="I81" s="17"/>
      <c r="J81" s="17"/>
    </row>
    <row r="82" spans="2:12" ht="15.95" customHeight="1" x14ac:dyDescent="0.15">
      <c r="B82" s="21" t="s">
        <v>19</v>
      </c>
      <c r="C82" s="33">
        <f>E77*E5</f>
        <v>0</v>
      </c>
      <c r="D82" s="34">
        <f>E78*E5</f>
        <v>0</v>
      </c>
      <c r="E82" s="35">
        <f>C82+D82</f>
        <v>0</v>
      </c>
      <c r="G82" s="17"/>
      <c r="H82" s="17"/>
      <c r="I82" s="17"/>
      <c r="J82" s="17"/>
    </row>
    <row r="83" spans="2:12" ht="15.95" customHeight="1" x14ac:dyDescent="0.15">
      <c r="B83" s="21" t="s">
        <v>2</v>
      </c>
      <c r="C83" s="33">
        <f>E6</f>
        <v>0</v>
      </c>
      <c r="D83" s="151">
        <v>0</v>
      </c>
      <c r="E83" s="35">
        <f>C83+D83</f>
        <v>0</v>
      </c>
      <c r="G83" s="17"/>
      <c r="H83" s="17"/>
      <c r="I83" s="17"/>
      <c r="J83" s="17"/>
    </row>
    <row r="84" spans="2:12" ht="15.95" customHeight="1" x14ac:dyDescent="0.15">
      <c r="B84" s="36" t="s">
        <v>27</v>
      </c>
      <c r="C84" s="37">
        <f>SUM(C82:C83)</f>
        <v>0</v>
      </c>
      <c r="D84" s="136">
        <f>SUM(D82:D83)</f>
        <v>0</v>
      </c>
      <c r="E84" s="152">
        <f>SUM(E82:E83)</f>
        <v>0</v>
      </c>
      <c r="G84" s="17"/>
      <c r="H84" s="17"/>
      <c r="I84" s="17"/>
      <c r="J84" s="17"/>
    </row>
    <row r="85" spans="2:12" ht="15.95" customHeight="1" x14ac:dyDescent="0.15">
      <c r="B85" s="21"/>
      <c r="C85" s="33"/>
      <c r="D85" s="34"/>
      <c r="E85" s="35"/>
      <c r="G85" s="17"/>
      <c r="H85" s="17"/>
      <c r="I85" s="17"/>
      <c r="J85" s="17"/>
      <c r="L85" s="57"/>
    </row>
    <row r="86" spans="2:12" ht="15.95" customHeight="1" x14ac:dyDescent="0.15">
      <c r="B86" s="21" t="s">
        <v>11</v>
      </c>
      <c r="C86" s="33">
        <f>-1*'Calc 2a'!D37</f>
        <v>0</v>
      </c>
      <c r="D86" s="34">
        <f>-1*'Calc 2b'!D37</f>
        <v>0</v>
      </c>
      <c r="E86" s="35">
        <f>C86+D86</f>
        <v>0</v>
      </c>
      <c r="G86" s="17"/>
      <c r="H86" s="17"/>
      <c r="I86" s="17"/>
      <c r="J86" s="17"/>
      <c r="L86" s="57"/>
    </row>
    <row r="87" spans="2:12" ht="15.95" customHeight="1" x14ac:dyDescent="0.15">
      <c r="B87" s="21" t="s">
        <v>13</v>
      </c>
      <c r="C87" s="33">
        <f>-1*'Calc 2a'!D50</f>
        <v>0</v>
      </c>
      <c r="D87" s="34">
        <f>-1*'Calc 2b'!D50</f>
        <v>0</v>
      </c>
      <c r="E87" s="35">
        <f>C87+D87</f>
        <v>0</v>
      </c>
      <c r="G87" s="17"/>
      <c r="H87" s="17"/>
      <c r="I87" s="17"/>
      <c r="J87" s="17"/>
    </row>
    <row r="88" spans="2:12" ht="15.95" customHeight="1" x14ac:dyDescent="0.15">
      <c r="B88" s="21" t="s">
        <v>14</v>
      </c>
      <c r="C88" s="33">
        <f>-1*'Calc 2a'!D40</f>
        <v>0</v>
      </c>
      <c r="D88" s="34">
        <f>-1*'Calc 2b'!D40</f>
        <v>0</v>
      </c>
      <c r="E88" s="35">
        <f>C88+D88</f>
        <v>0</v>
      </c>
      <c r="G88" s="17"/>
      <c r="H88" s="17"/>
      <c r="I88" s="17"/>
      <c r="J88" s="17"/>
    </row>
    <row r="89" spans="2:12" ht="15.95" customHeight="1" x14ac:dyDescent="0.15">
      <c r="B89" s="36" t="s">
        <v>20</v>
      </c>
      <c r="C89" s="37">
        <f>SUM(C86:C88)</f>
        <v>0</v>
      </c>
      <c r="D89" s="38">
        <f>SUM(D86:D88)</f>
        <v>0</v>
      </c>
      <c r="E89" s="39">
        <f>C89+D89</f>
        <v>0</v>
      </c>
      <c r="G89" s="17"/>
      <c r="H89" s="17"/>
      <c r="I89" s="17"/>
      <c r="J89" s="17"/>
    </row>
    <row r="90" spans="2:12" ht="15.95" customHeight="1" x14ac:dyDescent="0.15">
      <c r="B90" s="21"/>
      <c r="C90" s="33"/>
      <c r="D90" s="34"/>
      <c r="E90" s="35"/>
      <c r="G90" s="17"/>
      <c r="H90" s="17"/>
      <c r="I90" s="17"/>
      <c r="J90" s="17"/>
    </row>
    <row r="91" spans="2:12" ht="15.95" customHeight="1" x14ac:dyDescent="0.15">
      <c r="B91" s="21" t="s">
        <v>8</v>
      </c>
      <c r="C91" s="33">
        <f>'Calc 2a'!D52</f>
        <v>0</v>
      </c>
      <c r="D91" s="34"/>
      <c r="E91" s="35">
        <f>C91+D91</f>
        <v>0</v>
      </c>
      <c r="G91" s="17"/>
      <c r="H91" s="17"/>
      <c r="I91" s="17"/>
      <c r="J91" s="17"/>
    </row>
    <row r="92" spans="2:12" ht="15.95" customHeight="1" x14ac:dyDescent="0.15">
      <c r="B92" s="21" t="s">
        <v>1</v>
      </c>
      <c r="C92" s="33">
        <f>-1*'1'!E8</f>
        <v>0</v>
      </c>
      <c r="D92" s="34"/>
      <c r="E92" s="35">
        <f>C92+D92</f>
        <v>0</v>
      </c>
      <c r="G92" s="17"/>
      <c r="H92" s="17"/>
      <c r="I92" s="17"/>
      <c r="J92" s="17"/>
    </row>
    <row r="93" spans="2:12" ht="15.95" customHeight="1" x14ac:dyDescent="0.15">
      <c r="B93" s="36" t="s">
        <v>25</v>
      </c>
      <c r="C93" s="37">
        <f>SUM(C91:C92)</f>
        <v>0</v>
      </c>
      <c r="D93" s="38"/>
      <c r="E93" s="39">
        <f>C93+D93</f>
        <v>0</v>
      </c>
      <c r="G93" s="17"/>
      <c r="H93" s="17"/>
      <c r="I93" s="17"/>
      <c r="J93" s="17"/>
    </row>
    <row r="94" spans="2:12" ht="15.95" customHeight="1" x14ac:dyDescent="0.15">
      <c r="B94" s="21"/>
      <c r="C94" s="33"/>
      <c r="D94" s="34"/>
      <c r="E94" s="35"/>
      <c r="G94" s="17"/>
      <c r="H94" s="17"/>
      <c r="I94" s="17"/>
      <c r="J94" s="17"/>
    </row>
    <row r="95" spans="2:12" ht="15.95" customHeight="1" x14ac:dyDescent="0.15">
      <c r="B95" s="36" t="s">
        <v>24</v>
      </c>
      <c r="C95" s="37">
        <f>C84+C89+C93</f>
        <v>0</v>
      </c>
      <c r="D95" s="136">
        <f>D84+D89+D93</f>
        <v>0</v>
      </c>
      <c r="E95" s="135">
        <f>E84+E89+E93</f>
        <v>0</v>
      </c>
      <c r="G95" s="17"/>
      <c r="H95" s="17"/>
      <c r="I95" s="17"/>
      <c r="J95" s="17"/>
    </row>
    <row r="96" spans="2:12" ht="15.95" customHeight="1" x14ac:dyDescent="0.15">
      <c r="B96" s="21"/>
      <c r="C96" s="33"/>
      <c r="D96" s="34"/>
      <c r="E96" s="35"/>
      <c r="G96" s="17"/>
      <c r="H96" s="17"/>
      <c r="I96" s="17"/>
      <c r="J96" s="17"/>
    </row>
    <row r="97" spans="2:10" ht="15.95" customHeight="1" x14ac:dyDescent="0.15">
      <c r="B97" s="21" t="s">
        <v>16</v>
      </c>
      <c r="C97" s="33">
        <f ca="1">'Calc 2a'!D12</f>
        <v>0</v>
      </c>
      <c r="D97" s="34">
        <f ca="1">'Calc 2b'!D12</f>
        <v>0</v>
      </c>
      <c r="E97" s="35">
        <f ca="1">C97+D97</f>
        <v>0</v>
      </c>
      <c r="G97" s="17"/>
      <c r="H97" s="17"/>
      <c r="I97" s="17"/>
      <c r="J97" s="17"/>
    </row>
    <row r="98" spans="2:10" ht="11.25" x14ac:dyDescent="0.15">
      <c r="B98" s="170">
        <f ca="1">'Calc 2a'!C8</f>
        <v>0.3735</v>
      </c>
      <c r="C98" s="162">
        <f ca="1">B98*IF(C95&gt;'Calc 2a'!B8,'Calc 2a'!B8,C95)</f>
        <v>0</v>
      </c>
      <c r="D98" s="163">
        <f ca="1">B98*IF(D95&gt;'Calc 2b'!B8,'Calc 2b'!B8,D95)</f>
        <v>0</v>
      </c>
      <c r="E98" s="164">
        <f ca="1">C98+D98</f>
        <v>0</v>
      </c>
      <c r="G98" s="17"/>
      <c r="H98" s="17"/>
      <c r="I98" s="17"/>
      <c r="J98" s="17"/>
    </row>
    <row r="99" spans="2:10" ht="11.25" x14ac:dyDescent="0.15">
      <c r="B99" s="170">
        <f ca="1">'Calc 2a'!C9</f>
        <v>0.3735</v>
      </c>
      <c r="C99" s="162">
        <f ca="1">B99*MAX(IF($C$95&gt;'Calc 2a'!B9,('Calc 2a'!B9-'Calc 2a'!B8),($C$95-'Calc 2a'!B8)),0)</f>
        <v>0</v>
      </c>
      <c r="D99" s="163">
        <f ca="1">B99*MAX(IF($D$95&gt;'Calc 2b'!B9,('Calc 2b'!B9-'Calc 2b'!B8),($D$95-'Calc 2b'!B8)),0)</f>
        <v>0</v>
      </c>
      <c r="E99" s="164">
        <f t="shared" ref="E99:E101" ca="1" si="1">C99+D99</f>
        <v>0</v>
      </c>
      <c r="G99" s="17"/>
      <c r="H99" s="17"/>
      <c r="I99" s="17"/>
      <c r="J99" s="17"/>
    </row>
    <row r="100" spans="2:10" ht="11.25" x14ac:dyDescent="0.15">
      <c r="B100" s="170">
        <f ca="1">'Calc 2a'!C10</f>
        <v>0.3735</v>
      </c>
      <c r="C100" s="162">
        <f ca="1">B100*MAX(IF($C$95&gt;'Calc 2a'!B10,('Calc 2a'!B10-'Calc 2a'!B9),($C$95-'Calc 2a'!B9)),0)</f>
        <v>0</v>
      </c>
      <c r="D100" s="163">
        <f ca="1">B100*MAX(IF($D$95&gt;'Calc 2b'!B10,('Calc 2b'!B10-'Calc 2b'!B9),($D$95-'Calc 2b'!B9)),0)</f>
        <v>0</v>
      </c>
      <c r="E100" s="164">
        <f t="shared" ca="1" si="1"/>
        <v>0</v>
      </c>
      <c r="G100" s="17"/>
      <c r="H100" s="17"/>
      <c r="I100" s="17"/>
      <c r="J100" s="17"/>
    </row>
    <row r="101" spans="2:10" ht="11.25" x14ac:dyDescent="0.15">
      <c r="B101" s="170">
        <f ca="1">'Calc 2a'!C11</f>
        <v>0.495</v>
      </c>
      <c r="C101" s="162">
        <f ca="1">B101*MAX(IF($C$95&gt;'Calc 2a'!B11,('Calc 2a'!B11-'Calc 2a'!B10),($C$95-'Calc 2a'!B10)),0)</f>
        <v>0</v>
      </c>
      <c r="D101" s="163">
        <f ca="1">B101*MAX(IF($D$95&gt;'Calc 2b'!B11,('Calc 2b'!B11-'Calc 2b'!B10),($D$95-'Calc 2b'!B10)),0)</f>
        <v>0</v>
      </c>
      <c r="E101" s="164">
        <f t="shared" ca="1" si="1"/>
        <v>0</v>
      </c>
      <c r="G101" s="17"/>
      <c r="H101" s="17"/>
      <c r="I101" s="17"/>
      <c r="J101" s="17"/>
    </row>
    <row r="102" spans="2:10" ht="11.25" x14ac:dyDescent="0.15">
      <c r="B102" s="161"/>
      <c r="C102" s="162"/>
      <c r="D102" s="163"/>
      <c r="E102" s="164"/>
      <c r="G102" s="17"/>
      <c r="H102" s="17"/>
      <c r="I102" s="17"/>
      <c r="J102" s="17"/>
    </row>
    <row r="103" spans="2:10" ht="15.95" customHeight="1" x14ac:dyDescent="0.15">
      <c r="B103" s="21" t="s">
        <v>67</v>
      </c>
      <c r="C103" s="33">
        <f ca="1">-1*'Calc 2a'!D24</f>
        <v>0</v>
      </c>
      <c r="D103" s="34">
        <f ca="1">-1*'Calc 2b'!D24</f>
        <v>0</v>
      </c>
      <c r="E103" s="35">
        <f ca="1">C103+D103</f>
        <v>0</v>
      </c>
      <c r="G103" s="17"/>
      <c r="H103" s="17"/>
      <c r="I103" s="17"/>
      <c r="J103" s="17"/>
    </row>
    <row r="104" spans="2:10" ht="15.95" customHeight="1" x14ac:dyDescent="0.15">
      <c r="B104" s="21"/>
      <c r="C104" s="33"/>
      <c r="D104" s="34"/>
      <c r="E104" s="35"/>
      <c r="G104" s="17"/>
      <c r="H104" s="17"/>
      <c r="I104" s="17"/>
      <c r="J104" s="17"/>
    </row>
    <row r="105" spans="2:10" ht="15.95" customHeight="1" x14ac:dyDescent="0.15">
      <c r="B105" s="21" t="s">
        <v>64</v>
      </c>
      <c r="C105" s="33">
        <f>-1*MAX('Calc 2a'!D32,0)</f>
        <v>0</v>
      </c>
      <c r="D105" s="34">
        <f>-1*MAX('Calc 2b'!D32,0)</f>
        <v>0</v>
      </c>
      <c r="E105" s="35">
        <f>C105+D105</f>
        <v>0</v>
      </c>
      <c r="G105" s="17"/>
      <c r="H105" s="17"/>
      <c r="I105" s="17"/>
      <c r="J105" s="17"/>
    </row>
    <row r="106" spans="2:10" ht="11.25" x14ac:dyDescent="0.15">
      <c r="B106" s="166" t="str">
        <f>'Calc 2a'!$A$28</f>
        <v>schijf 1</v>
      </c>
      <c r="C106" s="168">
        <f>'Calc 2a'!$D$28</f>
        <v>0</v>
      </c>
      <c r="D106" s="168">
        <f>'Calc 2b'!$D$28</f>
        <v>0</v>
      </c>
      <c r="E106" s="167">
        <f>C106+D106</f>
        <v>0</v>
      </c>
      <c r="G106" s="17"/>
      <c r="H106" s="17"/>
      <c r="I106" s="17"/>
      <c r="J106" s="17"/>
    </row>
    <row r="107" spans="2:10" ht="11.25" x14ac:dyDescent="0.15">
      <c r="B107" s="166" t="str">
        <f>'Calc 2a'!$A$29</f>
        <v>schijf 2</v>
      </c>
      <c r="C107" s="168">
        <f>'Calc 2a'!$D$29</f>
        <v>0</v>
      </c>
      <c r="D107" s="168">
        <f>'Calc 2b'!$D$29</f>
        <v>0</v>
      </c>
      <c r="E107" s="167">
        <f t="shared" ref="E107:E110" si="2">C107+D107</f>
        <v>0</v>
      </c>
      <c r="G107" s="17"/>
      <c r="H107" s="17"/>
      <c r="I107" s="17"/>
      <c r="J107" s="17"/>
    </row>
    <row r="108" spans="2:10" ht="11.25" x14ac:dyDescent="0.15">
      <c r="B108" s="166" t="str">
        <f>'Calc 2a'!$A$30</f>
        <v>schijf 3</v>
      </c>
      <c r="C108" s="168">
        <f>'Calc 2a'!$D$30</f>
        <v>0</v>
      </c>
      <c r="D108" s="168">
        <f>'Calc 2b'!$D$30</f>
        <v>0</v>
      </c>
      <c r="E108" s="167">
        <f t="shared" si="2"/>
        <v>0</v>
      </c>
      <c r="G108" s="17"/>
      <c r="H108" s="17"/>
      <c r="I108" s="17"/>
      <c r="J108" s="17"/>
    </row>
    <row r="109" spans="2:10" ht="11.25" x14ac:dyDescent="0.15">
      <c r="B109" s="166" t="str">
        <f>'Calc 2a'!$A$31</f>
        <v>schijf 4</v>
      </c>
      <c r="C109" s="168">
        <f>'Calc 2a'!$D$31</f>
        <v>0</v>
      </c>
      <c r="D109" s="168">
        <f>'Calc 2b'!$D$31</f>
        <v>0</v>
      </c>
      <c r="E109" s="167">
        <f t="shared" si="2"/>
        <v>0</v>
      </c>
      <c r="G109" s="17"/>
      <c r="H109" s="17"/>
      <c r="I109" s="17"/>
      <c r="J109" s="17"/>
    </row>
    <row r="110" spans="2:10" ht="11.25" x14ac:dyDescent="0.15">
      <c r="B110" s="166"/>
      <c r="C110" s="168">
        <f>'Calc 2a'!$D$32</f>
        <v>0</v>
      </c>
      <c r="D110" s="168">
        <f>'Calc 2b'!$D$32</f>
        <v>0</v>
      </c>
      <c r="E110" s="167">
        <f t="shared" si="2"/>
        <v>0</v>
      </c>
      <c r="G110" s="17"/>
      <c r="H110" s="17"/>
      <c r="I110" s="17"/>
      <c r="J110" s="17"/>
    </row>
    <row r="111" spans="2:10" ht="11.25" x14ac:dyDescent="0.15">
      <c r="B111" s="166"/>
      <c r="C111" s="168"/>
      <c r="D111" s="168"/>
      <c r="E111" s="167"/>
      <c r="G111" s="17"/>
      <c r="H111" s="17"/>
      <c r="I111" s="17"/>
      <c r="J111" s="17"/>
    </row>
    <row r="112" spans="2:10" ht="15.95" customHeight="1" x14ac:dyDescent="0.15">
      <c r="B112" s="21" t="s">
        <v>68</v>
      </c>
      <c r="C112" s="33">
        <f>'Calc 2a'!D35</f>
        <v>0</v>
      </c>
      <c r="D112" s="34">
        <v>0</v>
      </c>
      <c r="E112" s="35">
        <f>C112+D112</f>
        <v>0</v>
      </c>
      <c r="G112" s="17"/>
      <c r="H112" s="17"/>
      <c r="I112" s="17"/>
      <c r="J112" s="17"/>
    </row>
    <row r="113" spans="2:12" ht="15.95" customHeight="1" x14ac:dyDescent="0.15">
      <c r="B113" s="21"/>
      <c r="C113" s="33"/>
      <c r="D113" s="34"/>
      <c r="E113" s="35"/>
      <c r="G113" s="17"/>
      <c r="H113" s="17"/>
      <c r="I113" s="17"/>
      <c r="J113" s="17"/>
    </row>
    <row r="114" spans="2:12" ht="15.95" customHeight="1" x14ac:dyDescent="0.15">
      <c r="B114" s="28" t="s">
        <v>17</v>
      </c>
      <c r="C114" s="40">
        <f>-1*C87*$E$16</f>
        <v>0</v>
      </c>
      <c r="D114" s="40">
        <f>-1*D87*$E$16</f>
        <v>0</v>
      </c>
      <c r="E114" s="41">
        <f>C114+D114</f>
        <v>0</v>
      </c>
      <c r="G114" s="47" t="s">
        <v>39</v>
      </c>
      <c r="H114" s="17"/>
      <c r="I114" s="17"/>
      <c r="J114" s="17"/>
    </row>
    <row r="115" spans="2:12" ht="15.95" customHeight="1" x14ac:dyDescent="0.15">
      <c r="B115" s="21" t="s">
        <v>45</v>
      </c>
      <c r="C115" s="33">
        <f ca="1">C114*'Calc 2a'!D65</f>
        <v>0</v>
      </c>
      <c r="D115" s="34">
        <f ca="1">'Calc 2b'!D65*'1'!D114</f>
        <v>0</v>
      </c>
      <c r="E115" s="35">
        <f ca="1">C115+D115</f>
        <v>0</v>
      </c>
      <c r="G115" s="47" t="s">
        <v>39</v>
      </c>
      <c r="H115" s="17"/>
      <c r="I115" s="17"/>
      <c r="J115" s="17"/>
    </row>
    <row r="116" spans="2:12" ht="15.95" customHeight="1" x14ac:dyDescent="0.15">
      <c r="B116" s="21"/>
      <c r="C116" s="33"/>
      <c r="D116" s="42"/>
      <c r="E116" s="35"/>
      <c r="G116" s="17"/>
      <c r="H116" s="17"/>
      <c r="I116" s="17"/>
      <c r="J116" s="17"/>
    </row>
    <row r="117" spans="2:12" ht="15.95" customHeight="1" x14ac:dyDescent="0.15">
      <c r="B117" s="36" t="s">
        <v>15</v>
      </c>
      <c r="C117" s="37">
        <f ca="1">C97+C103+C105+C112+C115</f>
        <v>0</v>
      </c>
      <c r="D117" s="37">
        <f ca="1">D97+D103+D105+D112+D115</f>
        <v>0</v>
      </c>
      <c r="E117" s="39">
        <f ca="1">C117+D117</f>
        <v>0</v>
      </c>
      <c r="G117" s="17"/>
      <c r="H117" s="17"/>
      <c r="I117" s="17"/>
      <c r="J117" s="17"/>
    </row>
    <row r="118" spans="2:12" ht="15.95" customHeight="1" x14ac:dyDescent="0.15">
      <c r="B118" s="21"/>
      <c r="C118" s="33"/>
      <c r="D118" s="42"/>
      <c r="E118" s="43"/>
      <c r="G118" s="17"/>
      <c r="H118" s="17"/>
      <c r="I118" s="17"/>
      <c r="J118" s="17"/>
    </row>
    <row r="119" spans="2:12" ht="15.95" customHeight="1" thickBot="1" x14ac:dyDescent="0.2">
      <c r="B119" s="44" t="s">
        <v>18</v>
      </c>
      <c r="C119" s="45"/>
      <c r="D119" s="45"/>
      <c r="E119" s="46" t="str">
        <f>IF(E82&gt;0,E117/E82,"nvt")</f>
        <v>nvt</v>
      </c>
      <c r="G119" s="17"/>
      <c r="H119" s="17"/>
      <c r="I119" s="17"/>
      <c r="J119" s="17"/>
    </row>
    <row r="120" spans="2:12" ht="15.95" customHeight="1" thickTop="1" thickBot="1" x14ac:dyDescent="0.2">
      <c r="G120" s="17"/>
      <c r="H120" s="17"/>
      <c r="I120" s="17"/>
      <c r="J120" s="17"/>
    </row>
    <row r="121" spans="2:12" ht="15.95" customHeight="1" thickTop="1" x14ac:dyDescent="0.15">
      <c r="B121" s="13" t="s">
        <v>44</v>
      </c>
      <c r="C121" s="19"/>
      <c r="D121" s="19"/>
      <c r="E121" s="20"/>
      <c r="G121" s="17"/>
      <c r="H121" s="17"/>
      <c r="I121" s="17"/>
      <c r="J121" s="17"/>
    </row>
    <row r="122" spans="2:12" ht="15.95" customHeight="1" x14ac:dyDescent="0.15">
      <c r="B122" s="21" t="s">
        <v>19</v>
      </c>
      <c r="C122" s="22"/>
      <c r="D122" s="22"/>
      <c r="E122" s="24">
        <f>'1'!E5</f>
        <v>0</v>
      </c>
      <c r="G122" s="17"/>
      <c r="H122" s="17"/>
      <c r="I122" s="17"/>
      <c r="J122" s="17"/>
    </row>
    <row r="123" spans="2:12" ht="15.95" customHeight="1" x14ac:dyDescent="0.15">
      <c r="B123" s="21" t="s">
        <v>4</v>
      </c>
      <c r="C123" s="22"/>
      <c r="D123" s="22"/>
      <c r="E123" s="24">
        <f>-'1'!E14</f>
        <v>0</v>
      </c>
      <c r="G123" s="17"/>
      <c r="H123" s="17"/>
      <c r="I123" s="17"/>
      <c r="J123" s="17"/>
    </row>
    <row r="124" spans="2:12" ht="15.95" customHeight="1" x14ac:dyDescent="0.15">
      <c r="B124" s="21" t="s">
        <v>5</v>
      </c>
      <c r="C124" s="22"/>
      <c r="D124" s="22"/>
      <c r="E124" s="24">
        <f>-'1'!E11</f>
        <v>0</v>
      </c>
      <c r="G124" s="17"/>
      <c r="H124" s="17"/>
      <c r="I124" s="17"/>
      <c r="J124" s="17"/>
    </row>
    <row r="125" spans="2:12" ht="15.95" customHeight="1" x14ac:dyDescent="0.15">
      <c r="B125" s="25" t="s">
        <v>28</v>
      </c>
      <c r="C125" s="26"/>
      <c r="D125" s="26"/>
      <c r="E125" s="27">
        <f>SUM(E122:E124)</f>
        <v>0</v>
      </c>
      <c r="G125" s="17"/>
      <c r="H125" s="17"/>
      <c r="I125" s="17"/>
      <c r="J125" s="17"/>
    </row>
    <row r="126" spans="2:12" ht="15.95" customHeight="1" x14ac:dyDescent="0.15">
      <c r="B126" s="21"/>
      <c r="C126" s="22"/>
      <c r="D126" s="22"/>
      <c r="E126" s="24"/>
      <c r="G126" s="17"/>
      <c r="H126" s="17"/>
      <c r="I126" s="17"/>
      <c r="J126" s="17"/>
    </row>
    <row r="127" spans="2:12" ht="15.95" customHeight="1" x14ac:dyDescent="0.15">
      <c r="B127" s="21" t="s">
        <v>5</v>
      </c>
      <c r="C127" s="22"/>
      <c r="D127" s="22"/>
      <c r="E127" s="24">
        <f>-E124</f>
        <v>0</v>
      </c>
      <c r="G127" s="17"/>
      <c r="H127" s="17"/>
      <c r="I127" s="17"/>
      <c r="J127" s="17"/>
      <c r="L127" s="57"/>
    </row>
    <row r="128" spans="2:12" ht="15.95" customHeight="1" x14ac:dyDescent="0.15">
      <c r="B128" s="21" t="s">
        <v>2</v>
      </c>
      <c r="C128" s="22"/>
      <c r="D128" s="22"/>
      <c r="E128" s="24">
        <f>'1'!E6</f>
        <v>0</v>
      </c>
      <c r="G128" s="17"/>
      <c r="H128" s="17"/>
      <c r="I128" s="17"/>
      <c r="J128" s="17"/>
      <c r="L128" s="57"/>
    </row>
    <row r="129" spans="2:10" ht="15.95" customHeight="1" x14ac:dyDescent="0.15">
      <c r="B129" s="21" t="s">
        <v>8</v>
      </c>
      <c r="C129" s="22"/>
      <c r="D129" s="22"/>
      <c r="E129" s="24">
        <f>'1'!E42</f>
        <v>0</v>
      </c>
      <c r="G129" s="17"/>
      <c r="H129" s="17"/>
      <c r="I129" s="17"/>
      <c r="J129" s="17"/>
    </row>
    <row r="130" spans="2:10" ht="15.95" customHeight="1" x14ac:dyDescent="0.15">
      <c r="B130" s="21" t="s">
        <v>1</v>
      </c>
      <c r="C130" s="22"/>
      <c r="D130" s="22"/>
      <c r="E130" s="24">
        <f>'1'!E43</f>
        <v>0</v>
      </c>
      <c r="G130" s="17"/>
      <c r="H130" s="17"/>
      <c r="I130" s="17"/>
      <c r="J130" s="17"/>
    </row>
    <row r="131" spans="2:10" ht="15.95" customHeight="1" x14ac:dyDescent="0.15">
      <c r="B131" s="25" t="s">
        <v>24</v>
      </c>
      <c r="C131" s="26"/>
      <c r="D131" s="26"/>
      <c r="E131" s="27">
        <f>SUM(E127:E130)</f>
        <v>0</v>
      </c>
      <c r="G131" s="17"/>
      <c r="H131" s="17"/>
      <c r="I131" s="17"/>
      <c r="J131" s="17"/>
    </row>
    <row r="132" spans="2:10" ht="15.95" customHeight="1" x14ac:dyDescent="0.15">
      <c r="B132" s="21"/>
      <c r="C132" s="22"/>
      <c r="D132" s="22"/>
      <c r="E132" s="24"/>
      <c r="G132" s="17"/>
      <c r="H132" s="17"/>
      <c r="I132" s="17"/>
      <c r="J132" s="17"/>
    </row>
    <row r="133" spans="2:10" ht="15.95" customHeight="1" x14ac:dyDescent="0.15">
      <c r="B133" s="21" t="s">
        <v>29</v>
      </c>
      <c r="C133" s="22"/>
      <c r="D133" s="22"/>
      <c r="E133" s="24">
        <f ca="1">'Calc 3'!D12</f>
        <v>0</v>
      </c>
      <c r="G133" s="17"/>
      <c r="H133" s="17"/>
      <c r="I133" s="17"/>
      <c r="J133" s="17"/>
    </row>
    <row r="134" spans="2:10" ht="11.25" x14ac:dyDescent="0.15">
      <c r="B134" s="157" t="s">
        <v>76</v>
      </c>
      <c r="C134" s="159">
        <f>IF(E131&gt;'Calc 3'!B8,'Calc 3'!B8,E131)</f>
        <v>0</v>
      </c>
      <c r="D134" s="160">
        <f ca="1">'Calc 3'!C8</f>
        <v>0.3735</v>
      </c>
      <c r="E134" s="158">
        <f ca="1">C134*D134</f>
        <v>0</v>
      </c>
      <c r="G134" s="17"/>
      <c r="H134" s="17"/>
      <c r="I134" s="17"/>
      <c r="J134" s="17"/>
    </row>
    <row r="135" spans="2:10" ht="11.25" x14ac:dyDescent="0.15">
      <c r="B135" s="157" t="s">
        <v>77</v>
      </c>
      <c r="C135" s="159">
        <f>MAX(IF($E$131&gt;'Calc 3'!B9,('Calc 3'!B9-'Calc 3'!B8),($E$131-'Calc 3'!B8)),0)</f>
        <v>0</v>
      </c>
      <c r="D135" s="160">
        <f ca="1">'Calc 3'!C9</f>
        <v>0.3735</v>
      </c>
      <c r="E135" s="158">
        <f t="shared" ref="E135:E137" ca="1" si="3">C135*D135</f>
        <v>0</v>
      </c>
      <c r="G135" s="17"/>
      <c r="H135" s="17"/>
      <c r="I135" s="17"/>
      <c r="J135" s="17"/>
    </row>
    <row r="136" spans="2:10" ht="11.25" x14ac:dyDescent="0.15">
      <c r="B136" s="157" t="s">
        <v>78</v>
      </c>
      <c r="C136" s="159">
        <f>MAX(IF($E$131&gt;'Calc 3'!B10,('Calc 3'!B10-'Calc 3'!B9),($E$131-'Calc 3'!B9)),0)</f>
        <v>0</v>
      </c>
      <c r="D136" s="160">
        <f ca="1">'Calc 3'!C10</f>
        <v>0.3735</v>
      </c>
      <c r="E136" s="158">
        <f t="shared" ca="1" si="3"/>
        <v>0</v>
      </c>
      <c r="G136" s="17"/>
      <c r="H136" s="17"/>
      <c r="I136" s="17"/>
      <c r="J136" s="17"/>
    </row>
    <row r="137" spans="2:10" ht="11.25" x14ac:dyDescent="0.15">
      <c r="B137" s="157" t="s">
        <v>79</v>
      </c>
      <c r="C137" s="159">
        <f>MAX(IF($E$131&gt;'Calc 3'!B11,('Calc 3'!B11-'Calc 3'!B10),($E$131-'Calc 3'!B10)),0)</f>
        <v>0</v>
      </c>
      <c r="D137" s="160">
        <f ca="1">'Calc 3'!C11</f>
        <v>0.495</v>
      </c>
      <c r="E137" s="158">
        <f t="shared" ca="1" si="3"/>
        <v>0</v>
      </c>
      <c r="G137" s="17"/>
      <c r="H137" s="17"/>
      <c r="I137" s="17"/>
      <c r="J137" s="17"/>
    </row>
    <row r="138" spans="2:10" ht="11.25" x14ac:dyDescent="0.15">
      <c r="B138" s="157"/>
      <c r="C138" s="159"/>
      <c r="D138" s="160"/>
      <c r="E138" s="158"/>
      <c r="G138" s="17"/>
      <c r="H138" s="17"/>
      <c r="I138" s="17"/>
      <c r="J138" s="17"/>
    </row>
    <row r="139" spans="2:10" ht="15.95" customHeight="1" x14ac:dyDescent="0.15">
      <c r="B139" s="21" t="s">
        <v>10</v>
      </c>
      <c r="C139" s="22"/>
      <c r="D139" s="22"/>
      <c r="E139" s="24">
        <f>'Calc 3'!D19</f>
        <v>0</v>
      </c>
      <c r="G139" s="17"/>
      <c r="H139" s="17"/>
      <c r="I139" s="17"/>
      <c r="J139" s="17"/>
    </row>
    <row r="140" spans="2:10" ht="11.25" x14ac:dyDescent="0.15">
      <c r="B140" s="157" t="s">
        <v>76</v>
      </c>
      <c r="C140" s="159">
        <f>IF(E125&gt;200000,200000,E125)</f>
        <v>0</v>
      </c>
      <c r="D140" s="160">
        <v>0.2</v>
      </c>
      <c r="E140" s="158">
        <f>C140*D140</f>
        <v>0</v>
      </c>
      <c r="G140" s="17"/>
      <c r="H140" s="17"/>
      <c r="I140" s="17"/>
      <c r="J140" s="17"/>
    </row>
    <row r="141" spans="2:10" ht="11.25" x14ac:dyDescent="0.15">
      <c r="B141" s="157" t="s">
        <v>77</v>
      </c>
      <c r="C141" s="159">
        <f>IF(E125&gt;200000,(E125-200000),0)</f>
        <v>0</v>
      </c>
      <c r="D141" s="160">
        <v>0.25</v>
      </c>
      <c r="E141" s="158">
        <f t="shared" ref="E141" si="4">C141*D141</f>
        <v>0</v>
      </c>
      <c r="G141" s="17"/>
      <c r="H141" s="17"/>
      <c r="I141" s="17"/>
      <c r="J141" s="17"/>
    </row>
    <row r="142" spans="2:10" ht="11.25" x14ac:dyDescent="0.15">
      <c r="B142" s="157"/>
      <c r="C142" s="159"/>
      <c r="D142" s="160"/>
      <c r="E142" s="158"/>
      <c r="G142" s="17"/>
      <c r="H142" s="17"/>
      <c r="I142" s="17"/>
      <c r="J142" s="17"/>
    </row>
    <row r="143" spans="2:10" ht="15.95" customHeight="1" x14ac:dyDescent="0.15">
      <c r="B143" s="21" t="s">
        <v>4</v>
      </c>
      <c r="C143" s="22"/>
      <c r="D143" s="22"/>
      <c r="E143" s="24">
        <f>-E123</f>
        <v>0</v>
      </c>
      <c r="G143" s="17"/>
      <c r="H143" s="17"/>
      <c r="I143" s="17"/>
      <c r="J143" s="17"/>
    </row>
    <row r="144" spans="2:10" ht="15.95" customHeight="1" x14ac:dyDescent="0.15">
      <c r="B144" s="21"/>
      <c r="C144" s="22"/>
      <c r="D144" s="22"/>
      <c r="E144" s="24"/>
      <c r="G144" s="17"/>
      <c r="H144" s="17"/>
      <c r="I144" s="17"/>
      <c r="J144" s="17"/>
    </row>
    <row r="145" spans="2:10" ht="15.95" customHeight="1" x14ac:dyDescent="0.15">
      <c r="B145" s="25" t="s">
        <v>31</v>
      </c>
      <c r="C145" s="26"/>
      <c r="D145" s="26"/>
      <c r="E145" s="27">
        <f ca="1">E133+E139+E143</f>
        <v>0</v>
      </c>
      <c r="G145" s="17"/>
      <c r="H145" s="17"/>
      <c r="I145" s="17"/>
      <c r="J145" s="17"/>
    </row>
    <row r="146" spans="2:10" ht="15.95" customHeight="1" x14ac:dyDescent="0.15">
      <c r="B146" s="21"/>
      <c r="C146" s="22"/>
      <c r="D146" s="22"/>
      <c r="E146" s="24"/>
      <c r="G146" s="17"/>
      <c r="H146" s="17"/>
      <c r="I146" s="17"/>
      <c r="J146" s="17"/>
    </row>
    <row r="147" spans="2:10" ht="15.95" customHeight="1" x14ac:dyDescent="0.15">
      <c r="B147" s="21" t="s">
        <v>32</v>
      </c>
      <c r="C147" s="22"/>
      <c r="D147" s="22"/>
      <c r="E147" s="24">
        <f>'Calc 3'!D14</f>
        <v>0</v>
      </c>
      <c r="G147" s="17"/>
      <c r="H147" s="17"/>
      <c r="I147" s="17"/>
      <c r="J147" s="17"/>
    </row>
    <row r="148" spans="2:10" ht="15.95" customHeight="1" x14ac:dyDescent="0.15">
      <c r="B148" s="25" t="s">
        <v>17</v>
      </c>
      <c r="C148" s="26"/>
      <c r="D148" s="26"/>
      <c r="E148" s="27">
        <f>SUM(E147:E147)</f>
        <v>0</v>
      </c>
      <c r="G148" s="17"/>
      <c r="H148" s="17"/>
      <c r="I148" s="17"/>
      <c r="J148" s="17"/>
    </row>
    <row r="149" spans="2:10" ht="15.95" customHeight="1" x14ac:dyDescent="0.15">
      <c r="B149" s="21"/>
      <c r="C149" s="22"/>
      <c r="D149" s="22"/>
      <c r="E149" s="24"/>
      <c r="G149" s="17"/>
      <c r="H149" s="17"/>
      <c r="I149" s="17"/>
      <c r="J149" s="17"/>
    </row>
    <row r="150" spans="2:10" ht="15.95" customHeight="1" x14ac:dyDescent="0.15">
      <c r="B150" s="28" t="s">
        <v>33</v>
      </c>
      <c r="C150" s="22"/>
      <c r="D150" s="22"/>
      <c r="E150" s="24">
        <f ca="1">E139+E133</f>
        <v>0</v>
      </c>
      <c r="G150" s="17"/>
      <c r="H150" s="17"/>
      <c r="I150" s="17"/>
      <c r="J150" s="17"/>
    </row>
    <row r="151" spans="2:10" ht="15.95" customHeight="1" x14ac:dyDescent="0.15">
      <c r="B151" s="21" t="s">
        <v>67</v>
      </c>
      <c r="C151" s="22"/>
      <c r="D151" s="22"/>
      <c r="E151" s="24">
        <f ca="1">-1*'Calc 3'!D24</f>
        <v>0</v>
      </c>
      <c r="G151" s="17"/>
      <c r="H151" s="17"/>
      <c r="I151" s="17"/>
      <c r="J151" s="17"/>
    </row>
    <row r="152" spans="2:10" ht="15.95" customHeight="1" x14ac:dyDescent="0.15">
      <c r="B152" s="21" t="s">
        <v>64</v>
      </c>
      <c r="C152" s="22"/>
      <c r="D152" s="22"/>
      <c r="E152" s="24">
        <f>-1*MAX('Calc 3'!D32,0)</f>
        <v>0</v>
      </c>
      <c r="G152" s="17"/>
      <c r="H152" s="17"/>
      <c r="I152" s="17"/>
      <c r="J152" s="17"/>
    </row>
    <row r="153" spans="2:10" ht="11.25" x14ac:dyDescent="0.15">
      <c r="B153" s="166" t="str">
        <f>'Calc 3'!$A$28</f>
        <v>schijf 1</v>
      </c>
      <c r="C153" s="165">
        <f>'Calc 3'!$B$28</f>
        <v>9921</v>
      </c>
      <c r="D153" s="215">
        <f>'Calc 3'!$C$28</f>
        <v>2.8119999999999999E-2</v>
      </c>
      <c r="E153" s="169">
        <f>'Calc 3'!$D$28</f>
        <v>0</v>
      </c>
      <c r="G153" s="17"/>
      <c r="H153" s="17"/>
      <c r="I153" s="17"/>
      <c r="J153" s="17"/>
    </row>
    <row r="154" spans="2:10" ht="11.25" x14ac:dyDescent="0.15">
      <c r="B154" s="166" t="str">
        <f>'Calc 3'!$A$29</f>
        <v>schijf 2</v>
      </c>
      <c r="C154" s="165">
        <f>'Calc 3'!$B$29</f>
        <v>21430</v>
      </c>
      <c r="D154" s="215">
        <f>'Calc 3'!$C$29</f>
        <v>0.28811999999999999</v>
      </c>
      <c r="E154" s="169">
        <f>'Calc 3'!$D$29</f>
        <v>0</v>
      </c>
      <c r="G154" s="17"/>
      <c r="H154" s="17"/>
      <c r="I154" s="17"/>
      <c r="J154" s="17"/>
    </row>
    <row r="155" spans="2:10" ht="11.25" x14ac:dyDescent="0.15">
      <c r="B155" s="166" t="str">
        <f>'Calc 3'!$A$30</f>
        <v>schijf 3</v>
      </c>
      <c r="C155" s="165">
        <f>'Calc 3'!$B$30</f>
        <v>34954</v>
      </c>
      <c r="D155" s="215">
        <f>'Calc 3'!$C$30</f>
        <v>1.6559999999999998E-2</v>
      </c>
      <c r="E155" s="169">
        <f>'Calc 3'!$D$30</f>
        <v>0</v>
      </c>
      <c r="G155" s="17"/>
      <c r="H155" s="17"/>
      <c r="I155" s="17"/>
      <c r="J155" s="17"/>
    </row>
    <row r="156" spans="2:10" ht="11.25" x14ac:dyDescent="0.15">
      <c r="B156" s="166" t="str">
        <f>'Calc 3'!$A$31</f>
        <v>schijf 4</v>
      </c>
      <c r="C156" s="165">
        <f>'Calc 3'!$B$31</f>
        <v>98604</v>
      </c>
      <c r="D156" s="215">
        <f>'Calc 3'!$C$31</f>
        <v>-0.06</v>
      </c>
      <c r="E156" s="169">
        <f>'Calc 3'!$D$31</f>
        <v>0</v>
      </c>
      <c r="G156" s="17"/>
      <c r="H156" s="17"/>
      <c r="I156" s="17"/>
      <c r="J156" s="17"/>
    </row>
    <row r="157" spans="2:10" ht="11.25" x14ac:dyDescent="0.15">
      <c r="B157" s="166" t="str">
        <f>'Calc 3'!$A$32</f>
        <v>Max/Min</v>
      </c>
      <c r="C157" s="165">
        <f>'Calc 3'!$B$32</f>
        <v>3819</v>
      </c>
      <c r="D157" s="165">
        <f>'Calc 3'!$C$32</f>
        <v>0</v>
      </c>
      <c r="E157" s="169">
        <f>'Calc 3'!$D$32</f>
        <v>0</v>
      </c>
      <c r="G157" s="17"/>
      <c r="H157" s="17"/>
      <c r="I157" s="17"/>
      <c r="J157" s="17"/>
    </row>
    <row r="158" spans="2:10" ht="11.25" x14ac:dyDescent="0.15">
      <c r="B158" s="166"/>
      <c r="C158" s="165"/>
      <c r="D158" s="165"/>
      <c r="E158" s="169"/>
      <c r="G158" s="17"/>
      <c r="H158" s="17"/>
      <c r="I158" s="17"/>
      <c r="J158" s="17"/>
    </row>
    <row r="159" spans="2:10" ht="15.95" customHeight="1" x14ac:dyDescent="0.15">
      <c r="B159" s="21" t="s">
        <v>68</v>
      </c>
      <c r="C159" s="22"/>
      <c r="D159" s="22"/>
      <c r="E159" s="24">
        <f>'Calc 3'!D35</f>
        <v>0</v>
      </c>
      <c r="G159" s="17"/>
      <c r="H159" s="17"/>
      <c r="I159" s="17"/>
      <c r="J159" s="17"/>
    </row>
    <row r="160" spans="2:10" ht="15.95" customHeight="1" x14ac:dyDescent="0.15">
      <c r="B160" s="21"/>
      <c r="C160" s="22"/>
      <c r="D160" s="22"/>
      <c r="E160" s="24"/>
      <c r="G160" s="17"/>
      <c r="H160" s="17"/>
      <c r="I160" s="17"/>
      <c r="J160" s="17"/>
    </row>
    <row r="161" spans="1:10" ht="15.95" customHeight="1" x14ac:dyDescent="0.15">
      <c r="B161" s="28" t="s">
        <v>17</v>
      </c>
      <c r="C161" s="22"/>
      <c r="D161" s="22"/>
      <c r="E161" s="24">
        <f>E148</f>
        <v>0</v>
      </c>
      <c r="G161" s="47" t="s">
        <v>39</v>
      </c>
      <c r="H161" s="17"/>
      <c r="I161" s="17"/>
      <c r="J161" s="17"/>
    </row>
    <row r="162" spans="1:10" ht="15.95" customHeight="1" x14ac:dyDescent="0.15">
      <c r="B162" s="21" t="s">
        <v>26</v>
      </c>
      <c r="C162" s="22"/>
      <c r="D162" s="22"/>
      <c r="E162" s="24">
        <f ca="1">E161*'Calc 1a'!D65</f>
        <v>0</v>
      </c>
      <c r="G162" s="47" t="s">
        <v>39</v>
      </c>
      <c r="H162" s="17"/>
      <c r="I162" s="17"/>
      <c r="J162" s="17"/>
    </row>
    <row r="163" spans="1:10" ht="15.95" customHeight="1" x14ac:dyDescent="0.15">
      <c r="B163" s="21"/>
      <c r="C163" s="22"/>
      <c r="D163" s="22"/>
      <c r="E163" s="24"/>
      <c r="G163" s="17"/>
      <c r="H163" s="17"/>
      <c r="I163" s="17"/>
      <c r="J163" s="17"/>
    </row>
    <row r="164" spans="1:10" ht="15.95" customHeight="1" x14ac:dyDescent="0.15">
      <c r="B164" s="25" t="s">
        <v>15</v>
      </c>
      <c r="C164" s="26"/>
      <c r="D164" s="26"/>
      <c r="E164" s="27">
        <f ca="1">E150+E151+E152+E159+E162</f>
        <v>0</v>
      </c>
      <c r="G164" s="17"/>
      <c r="H164" s="17"/>
      <c r="I164" s="17"/>
      <c r="J164" s="17"/>
    </row>
    <row r="165" spans="1:10" ht="15.95" customHeight="1" x14ac:dyDescent="0.15">
      <c r="B165" s="21"/>
      <c r="C165" s="22"/>
      <c r="D165" s="22"/>
      <c r="E165" s="24"/>
      <c r="G165" s="17"/>
      <c r="H165" s="17"/>
      <c r="I165" s="17"/>
      <c r="J165" s="17"/>
    </row>
    <row r="166" spans="1:10" ht="15.95" customHeight="1" thickBot="1" x14ac:dyDescent="0.2">
      <c r="B166" s="29" t="s">
        <v>18</v>
      </c>
      <c r="C166" s="30"/>
      <c r="D166" s="30"/>
      <c r="E166" s="31" t="str">
        <f>IF(E122&gt;0,E164/E122,"nvt")</f>
        <v>nvt</v>
      </c>
      <c r="G166" s="17"/>
      <c r="H166" s="17"/>
      <c r="I166" s="17"/>
      <c r="J166" s="17"/>
    </row>
    <row r="167" spans="1:10" ht="15.95" customHeight="1" thickTop="1" x14ac:dyDescent="0.15">
      <c r="G167" s="17"/>
      <c r="H167" s="17"/>
      <c r="I167" s="17"/>
      <c r="J167" s="17"/>
    </row>
    <row r="168" spans="1:10" ht="15.95" customHeight="1" x14ac:dyDescent="0.15">
      <c r="A168" s="17"/>
      <c r="B168" s="17"/>
      <c r="C168" s="17"/>
      <c r="D168" s="17"/>
      <c r="E168" s="17"/>
      <c r="F168" s="17"/>
      <c r="G168" s="17"/>
      <c r="H168" s="17"/>
      <c r="I168" s="17"/>
      <c r="J168" s="17"/>
    </row>
  </sheetData>
  <sheetProtection algorithmName="SHA-512" hashValue="oPtr+7nKOe+IOkKhqVoAYmEV0/4M1BTnFQ/oFvYQruqb8tmLC0BVhJFM1RGwlozKieEw9gwGg4wuOX2VoF5c0w==" saltValue="7Drb7CW8XATIOtPgX+SrZw==" spinCount="100000" sheet="1" objects="1" scenarios="1"/>
  <mergeCells count="1">
    <mergeCell ref="B2:D2"/>
  </mergeCells>
  <phoneticPr fontId="0" type="noConversion"/>
  <dataValidations count="2">
    <dataValidation type="whole" allowBlank="1" showInputMessage="1" showErrorMessage="1" errorTitle="Leeftjid invullen." error="Vul een getal in tussen 18 en 65." sqref="E10" xr:uid="{00000000-0002-0000-0100-000000000000}">
      <formula1>18</formula1>
      <formula2>65</formula2>
    </dataValidation>
    <dataValidation type="list" allowBlank="1" showInputMessage="1" showErrorMessage="1" sqref="E2" xr:uid="{00000000-0002-0000-0100-000001000000}">
      <formula1>$L$1:$L$10</formula1>
    </dataValidation>
  </dataValidations>
  <hyperlinks>
    <hyperlink ref="G2" location="Home!A1" tooltip="Home" display="Ç" xr:uid="{5F48F9F3-93C2-420B-910D-777A07A0643E}"/>
  </hyperlinks>
  <pageMargins left="0.7" right="0.7" top="0.75" bottom="0.75" header="0.3" footer="0.3"/>
  <pageSetup paperSize="9" orientation="portrait" horizontalDpi="300" verticalDpi="300" r:id="rId1"/>
  <rowBreaks count="3" manualBreakCount="3">
    <brk id="24" max="16383" man="1"/>
    <brk id="75" max="16383" man="1"/>
    <brk id="1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locked="0" defaultSize="0" autoFill="0" autoLine="0" autoPict="0">
                <anchor moveWithCells="1">
                  <from>
                    <xdr:col>4</xdr:col>
                    <xdr:colOff>19050</xdr:colOff>
                    <xdr:row>24</xdr:row>
                    <xdr:rowOff>190500</xdr:rowOff>
                  </from>
                  <to>
                    <xdr:col>4</xdr:col>
                    <xdr:colOff>1685925</xdr:colOff>
                    <xdr:row>25</xdr:row>
                    <xdr:rowOff>219075</xdr:rowOff>
                  </to>
                </anchor>
              </controlPr>
            </control>
          </mc:Choice>
        </mc:AlternateContent>
        <mc:AlternateContent xmlns:mc="http://schemas.openxmlformats.org/markup-compatibility/2006">
          <mc:Choice Requires="x14">
            <control shapeId="2116" r:id="rId5" name="Check Box 68">
              <controlPr locked="0" defaultSize="0" autoFill="0" autoLine="0" autoPict="0">
                <anchor moveWithCells="1">
                  <from>
                    <xdr:col>2</xdr:col>
                    <xdr:colOff>1181100</xdr:colOff>
                    <xdr:row>77</xdr:row>
                    <xdr:rowOff>19050</xdr:rowOff>
                  </from>
                  <to>
                    <xdr:col>3</xdr:col>
                    <xdr:colOff>1438275</xdr:colOff>
                    <xdr:row>78</xdr:row>
                    <xdr:rowOff>9525</xdr:rowOff>
                  </to>
                </anchor>
              </controlPr>
            </control>
          </mc:Choice>
        </mc:AlternateContent>
        <mc:AlternateContent xmlns:mc="http://schemas.openxmlformats.org/markup-compatibility/2006">
          <mc:Choice Requires="x14">
            <control shapeId="2117" r:id="rId6" name="Check Box 69">
              <controlPr locked="0" defaultSize="0" autoFill="0" autoLine="0" autoPict="0">
                <anchor moveWithCells="1">
                  <from>
                    <xdr:col>2</xdr:col>
                    <xdr:colOff>1181100</xdr:colOff>
                    <xdr:row>76</xdr:row>
                    <xdr:rowOff>19050</xdr:rowOff>
                  </from>
                  <to>
                    <xdr:col>3</xdr:col>
                    <xdr:colOff>1438275</xdr:colOff>
                    <xdr:row>76</xdr:row>
                    <xdr:rowOff>219075</xdr:rowOff>
                  </to>
                </anchor>
              </controlPr>
            </control>
          </mc:Choice>
        </mc:AlternateContent>
        <mc:AlternateContent xmlns:mc="http://schemas.openxmlformats.org/markup-compatibility/2006">
          <mc:Choice Requires="x14">
            <control shapeId="2161" r:id="rId7" name="Check Box 113">
              <controlPr locked="0" defaultSize="0" autoFill="0" autoLine="0" autoPict="0">
                <anchor moveWithCells="1">
                  <from>
                    <xdr:col>1</xdr:col>
                    <xdr:colOff>3400425</xdr:colOff>
                    <xdr:row>76</xdr:row>
                    <xdr:rowOff>19050</xdr:rowOff>
                  </from>
                  <to>
                    <xdr:col>2</xdr:col>
                    <xdr:colOff>1152525</xdr:colOff>
                    <xdr:row>76</xdr:row>
                    <xdr:rowOff>219075</xdr:rowOff>
                  </to>
                </anchor>
              </controlPr>
            </control>
          </mc:Choice>
        </mc:AlternateContent>
        <mc:AlternateContent xmlns:mc="http://schemas.openxmlformats.org/markup-compatibility/2006">
          <mc:Choice Requires="x14">
            <control shapeId="2162" r:id="rId8" name="Check Box 114">
              <controlPr locked="0" defaultSize="0" autoFill="0" autoLine="0" autoPict="0">
                <anchor moveWithCells="1">
                  <from>
                    <xdr:col>1</xdr:col>
                    <xdr:colOff>3400425</xdr:colOff>
                    <xdr:row>77</xdr:row>
                    <xdr:rowOff>19050</xdr:rowOff>
                  </from>
                  <to>
                    <xdr:col>2</xdr:col>
                    <xdr:colOff>1152525</xdr:colOff>
                    <xdr:row>78</xdr:row>
                    <xdr:rowOff>9525</xdr:rowOff>
                  </to>
                </anchor>
              </controlPr>
            </control>
          </mc:Choice>
        </mc:AlternateContent>
        <mc:AlternateContent xmlns:mc="http://schemas.openxmlformats.org/markup-compatibility/2006">
          <mc:Choice Requires="x14">
            <control shapeId="2166" r:id="rId9" name="Check Box 118">
              <controlPr locked="0" defaultSize="0" autoFill="0" autoLine="0" autoPict="0">
                <anchor moveWithCells="1">
                  <from>
                    <xdr:col>3</xdr:col>
                    <xdr:colOff>257175</xdr:colOff>
                    <xdr:row>24</xdr:row>
                    <xdr:rowOff>190500</xdr:rowOff>
                  </from>
                  <to>
                    <xdr:col>3</xdr:col>
                    <xdr:colOff>1438275</xdr:colOff>
                    <xdr:row>25</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T154"/>
  <sheetViews>
    <sheetView showGridLines="0" showRowColHeaders="0" topLeftCell="A46" workbookViewId="0">
      <selection activeCell="A72" sqref="A72:O144"/>
    </sheetView>
  </sheetViews>
  <sheetFormatPr defaultColWidth="0.140625" defaultRowHeight="11.25" x14ac:dyDescent="0.15"/>
  <cols>
    <col min="1" max="1" width="34.5703125" style="127" bestFit="1" customWidth="1"/>
    <col min="2" max="2" width="16.140625" style="127" bestFit="1" customWidth="1"/>
    <col min="3" max="3" width="10.140625" style="127" bestFit="1" customWidth="1"/>
    <col min="4" max="4" width="19" style="127" bestFit="1" customWidth="1"/>
    <col min="5" max="5" width="10.7109375" style="127" bestFit="1" customWidth="1"/>
    <col min="6" max="6" width="13.42578125" style="127" bestFit="1" customWidth="1"/>
    <col min="7" max="7" width="11.5703125" style="127" bestFit="1" customWidth="1"/>
    <col min="8" max="8" width="12" style="145" bestFit="1" customWidth="1"/>
    <col min="9" max="15" width="10.140625" style="127" bestFit="1" customWidth="1"/>
    <col min="16" max="16384" width="0.140625" style="127"/>
  </cols>
  <sheetData>
    <row r="1" spans="1:15" ht="15" x14ac:dyDescent="0.15">
      <c r="A1" s="73">
        <f>'1'!E2</f>
        <v>2020</v>
      </c>
      <c r="B1" s="74" t="s">
        <v>69</v>
      </c>
      <c r="C1" s="74"/>
      <c r="D1" s="75">
        <f ca="1">D12-D24-D32-D35</f>
        <v>0</v>
      </c>
      <c r="E1" s="74"/>
      <c r="F1" s="76" t="s">
        <v>70</v>
      </c>
      <c r="G1" s="138">
        <f>A4</f>
        <v>36526</v>
      </c>
      <c r="H1" s="146">
        <f>VLOOKUP(G1,F2:H25,3)</f>
        <v>67.25</v>
      </c>
      <c r="I1" s="78"/>
      <c r="J1" s="74"/>
      <c r="K1" s="74"/>
      <c r="L1" s="74"/>
      <c r="M1" s="74"/>
      <c r="N1" s="74"/>
      <c r="O1" s="74"/>
    </row>
    <row r="2" spans="1:15" ht="15" x14ac:dyDescent="0.15">
      <c r="A2" s="130">
        <f>'1'!E34</f>
        <v>0</v>
      </c>
      <c r="B2" s="74" t="s">
        <v>128</v>
      </c>
      <c r="C2" s="74"/>
      <c r="D2" s="75"/>
      <c r="E2" s="74"/>
      <c r="F2" s="180">
        <v>1</v>
      </c>
      <c r="G2" s="138">
        <v>17532</v>
      </c>
      <c r="H2" s="142">
        <v>65</v>
      </c>
      <c r="I2" s="78"/>
      <c r="J2" s="74"/>
      <c r="K2" s="74"/>
      <c r="L2" s="74"/>
      <c r="M2" s="74"/>
      <c r="N2" s="74"/>
      <c r="O2" s="74"/>
    </row>
    <row r="3" spans="1:15" x14ac:dyDescent="0.15">
      <c r="A3" s="125">
        <f>'1'!E46</f>
        <v>0</v>
      </c>
      <c r="B3" s="74" t="s">
        <v>65</v>
      </c>
      <c r="C3" s="74"/>
      <c r="D3" s="74"/>
      <c r="E3" s="74"/>
      <c r="F3" s="139">
        <f>G2</f>
        <v>17532</v>
      </c>
      <c r="G3" s="118">
        <v>17868</v>
      </c>
      <c r="H3" s="142">
        <f>65+1/12</f>
        <v>65.083333333333329</v>
      </c>
      <c r="I3" s="74"/>
      <c r="J3" s="74"/>
      <c r="K3" s="74"/>
      <c r="L3" s="74"/>
      <c r="M3" s="74"/>
      <c r="N3" s="74"/>
      <c r="O3" s="74"/>
    </row>
    <row r="4" spans="1:15" x14ac:dyDescent="0.15">
      <c r="A4" s="80">
        <f>'1'!E9</f>
        <v>36526</v>
      </c>
      <c r="B4" s="74" t="s">
        <v>70</v>
      </c>
      <c r="C4" s="74"/>
      <c r="D4" s="74"/>
      <c r="E4" s="74"/>
      <c r="F4" s="139">
        <f t="shared" ref="F4:F12" si="0">G3</f>
        <v>17868</v>
      </c>
      <c r="G4" s="118">
        <v>18203</v>
      </c>
      <c r="H4" s="142">
        <f>65+2/12</f>
        <v>65.166666666666671</v>
      </c>
      <c r="I4" s="74"/>
      <c r="J4" s="74"/>
      <c r="K4" s="74"/>
      <c r="L4" s="74"/>
      <c r="M4" s="74"/>
      <c r="N4" s="74"/>
      <c r="O4" s="74"/>
    </row>
    <row r="5" spans="1:15" x14ac:dyDescent="0.15">
      <c r="A5" s="82"/>
      <c r="B5" s="74"/>
      <c r="C5" s="74"/>
      <c r="D5" s="74"/>
      <c r="E5" s="74"/>
      <c r="F5" s="139">
        <f t="shared" si="0"/>
        <v>18203</v>
      </c>
      <c r="G5" s="138">
        <v>18537</v>
      </c>
      <c r="H5" s="142">
        <f>65+3/12</f>
        <v>65.25</v>
      </c>
      <c r="I5" s="74"/>
      <c r="J5" s="74"/>
      <c r="K5" s="74"/>
      <c r="L5" s="74"/>
      <c r="M5" s="74"/>
      <c r="N5" s="74"/>
      <c r="O5" s="74"/>
    </row>
    <row r="6" spans="1:15" x14ac:dyDescent="0.15">
      <c r="A6" s="83" t="s">
        <v>71</v>
      </c>
      <c r="B6" s="74"/>
      <c r="C6" s="74"/>
      <c r="D6" s="74"/>
      <c r="E6" s="74"/>
      <c r="F6" s="139">
        <f t="shared" si="0"/>
        <v>18537</v>
      </c>
      <c r="G6" s="138">
        <v>18810</v>
      </c>
      <c r="H6" s="142">
        <v>65.5</v>
      </c>
      <c r="I6" s="74"/>
      <c r="J6" s="74"/>
      <c r="K6" s="74"/>
      <c r="L6" s="74"/>
      <c r="M6" s="74"/>
      <c r="N6" s="74"/>
      <c r="O6" s="74"/>
    </row>
    <row r="7" spans="1:15" x14ac:dyDescent="0.15">
      <c r="A7" s="84" t="s">
        <v>72</v>
      </c>
      <c r="B7" s="85" t="s">
        <v>73</v>
      </c>
      <c r="C7" s="85" t="s">
        <v>74</v>
      </c>
      <c r="D7" s="86" t="s">
        <v>75</v>
      </c>
      <c r="E7" s="74"/>
      <c r="F7" s="139">
        <f t="shared" si="0"/>
        <v>18810</v>
      </c>
      <c r="G7" s="140">
        <v>19085</v>
      </c>
      <c r="H7" s="143">
        <v>65.75</v>
      </c>
      <c r="I7" s="86"/>
      <c r="J7" s="74"/>
      <c r="K7" s="74"/>
      <c r="L7" s="74"/>
      <c r="M7" s="74"/>
      <c r="N7" s="74"/>
      <c r="O7" s="74"/>
    </row>
    <row r="8" spans="1:15" x14ac:dyDescent="0.15">
      <c r="A8" s="88" t="s">
        <v>76</v>
      </c>
      <c r="B8" s="89">
        <f>LOOKUP($A$1,$B$73:$O$73,B74:O74)</f>
        <v>20711</v>
      </c>
      <c r="C8" s="90">
        <f ca="1">LOOKUP($A$1,$B$73:$O$73,B80:G80)</f>
        <v>0.3735</v>
      </c>
      <c r="D8" s="91">
        <f ca="1">IF($A$3&gt;$B8,$B8*$C8,$A$3*$C8)</f>
        <v>0</v>
      </c>
      <c r="E8" s="74"/>
      <c r="F8" s="139">
        <f t="shared" si="0"/>
        <v>19085</v>
      </c>
      <c r="G8" s="141">
        <v>19360</v>
      </c>
      <c r="H8" s="144">
        <v>66</v>
      </c>
      <c r="I8" s="91"/>
      <c r="J8" s="74"/>
      <c r="K8" s="74"/>
      <c r="L8" s="74"/>
      <c r="M8" s="74"/>
      <c r="N8" s="74"/>
      <c r="O8" s="74"/>
    </row>
    <row r="9" spans="1:15" x14ac:dyDescent="0.15">
      <c r="A9" s="88" t="s">
        <v>77</v>
      </c>
      <c r="B9" s="89">
        <f>LOOKUP($A$1,$B$73:$O$73,B75:O75)</f>
        <v>34712</v>
      </c>
      <c r="C9" s="90">
        <f ca="1">LOOKUP($A$1,$B$73:$O$73,B81:G81)</f>
        <v>0.3735</v>
      </c>
      <c r="D9" s="91">
        <f ca="1">MAX(IF($A$3&gt;$B9,($B9-$B8)*$C9,($A$3-$B8)*$C9),0)</f>
        <v>0</v>
      </c>
      <c r="E9" s="74"/>
      <c r="F9" s="139">
        <f t="shared" si="0"/>
        <v>19360</v>
      </c>
      <c r="G9" s="141">
        <v>19845</v>
      </c>
      <c r="H9" s="144">
        <f>66+4/12</f>
        <v>66.333333333333329</v>
      </c>
      <c r="I9" s="91"/>
      <c r="J9" s="74"/>
      <c r="K9" s="74"/>
      <c r="L9" s="74"/>
      <c r="M9" s="74"/>
      <c r="N9" s="74"/>
      <c r="O9" s="74"/>
    </row>
    <row r="10" spans="1:15" x14ac:dyDescent="0.15">
      <c r="A10" s="88" t="s">
        <v>78</v>
      </c>
      <c r="B10" s="89">
        <f>LOOKUP($A$1,$B$73:$O$73,B76:O76)</f>
        <v>68507</v>
      </c>
      <c r="C10" s="90">
        <f ca="1">LOOKUP($A$1,$B$73:$O$73,B82:G82)</f>
        <v>0.3735</v>
      </c>
      <c r="D10" s="91">
        <f ca="1">MAX(IF($A$3&gt;$B10,($B10-$B9)*$C10,($A$3-$B9)*$C10),0)</f>
        <v>0</v>
      </c>
      <c r="E10" s="74"/>
      <c r="F10" s="139">
        <f t="shared" si="0"/>
        <v>19845</v>
      </c>
      <c r="G10" s="141">
        <v>20090</v>
      </c>
      <c r="H10" s="144">
        <f>66+8/12</f>
        <v>66.666666666666671</v>
      </c>
      <c r="I10" s="91"/>
      <c r="J10" s="74"/>
      <c r="K10" s="74"/>
      <c r="L10" s="74"/>
      <c r="M10" s="74"/>
      <c r="N10" s="74"/>
      <c r="O10" s="74"/>
    </row>
    <row r="11" spans="1:15" x14ac:dyDescent="0.15">
      <c r="A11" s="88" t="s">
        <v>79</v>
      </c>
      <c r="B11" s="93">
        <v>1E+100</v>
      </c>
      <c r="C11" s="90">
        <f ca="1">LOOKUP($A$1,$B$73:$O$73,B83:G83)</f>
        <v>0.495</v>
      </c>
      <c r="D11" s="91">
        <f ca="1">MAX(IF($A$3&gt;$B11,($B11-$B10)*$C11,($A$3-$B10)*$C11),0)</f>
        <v>0</v>
      </c>
      <c r="E11" s="74"/>
      <c r="F11" s="139">
        <f t="shared" si="0"/>
        <v>20090</v>
      </c>
      <c r="G11" s="141">
        <v>20363</v>
      </c>
      <c r="H11" s="144">
        <v>67</v>
      </c>
      <c r="I11" s="91"/>
      <c r="J11" s="74"/>
      <c r="K11" s="74"/>
      <c r="L11" s="74"/>
      <c r="M11" s="74"/>
      <c r="N11" s="74"/>
      <c r="O11" s="74"/>
    </row>
    <row r="12" spans="1:15" ht="15" x14ac:dyDescent="0.15">
      <c r="A12" s="88"/>
      <c r="B12" s="89"/>
      <c r="C12" s="89"/>
      <c r="D12" s="94">
        <f ca="1">ROUNDDOWN(SUM(D8:D11),0)</f>
        <v>0</v>
      </c>
      <c r="E12" s="74"/>
      <c r="F12" s="139">
        <f t="shared" si="0"/>
        <v>20363</v>
      </c>
      <c r="G12" s="141">
        <v>20729</v>
      </c>
      <c r="H12" s="110">
        <v>67.25</v>
      </c>
      <c r="I12" s="95"/>
      <c r="J12" s="74"/>
      <c r="K12" s="74"/>
      <c r="L12" s="74"/>
      <c r="M12" s="74"/>
      <c r="N12" s="74"/>
      <c r="O12" s="74"/>
    </row>
    <row r="13" spans="1:15" ht="15" x14ac:dyDescent="0.15">
      <c r="A13" s="88"/>
      <c r="B13" s="89"/>
      <c r="C13" s="89"/>
      <c r="D13" s="95"/>
      <c r="E13" s="74"/>
      <c r="F13" s="139">
        <v>20729</v>
      </c>
      <c r="G13" s="141">
        <v>21094</v>
      </c>
      <c r="H13" s="110">
        <v>67.25</v>
      </c>
      <c r="I13" s="95"/>
      <c r="J13" s="74"/>
      <c r="K13" s="74"/>
      <c r="L13" s="74"/>
      <c r="M13" s="74"/>
      <c r="N13" s="74"/>
      <c r="O13" s="74"/>
    </row>
    <row r="14" spans="1:15" ht="15" x14ac:dyDescent="0.15">
      <c r="A14" s="84" t="s">
        <v>80</v>
      </c>
      <c r="B14" s="96">
        <v>250001</v>
      </c>
      <c r="C14" s="74"/>
      <c r="D14" s="129">
        <f>ROUNDDOWN(SUM(D15:D16),0)</f>
        <v>65625</v>
      </c>
      <c r="E14" s="74"/>
      <c r="F14" s="139">
        <f t="shared" ref="F14" si="1">G13</f>
        <v>21094</v>
      </c>
      <c r="G14" s="141">
        <v>21459</v>
      </c>
      <c r="H14" s="110">
        <v>67.25</v>
      </c>
      <c r="I14" s="95"/>
      <c r="J14" s="74"/>
      <c r="K14" s="74"/>
      <c r="L14" s="74"/>
      <c r="M14" s="74"/>
      <c r="N14" s="74"/>
      <c r="O14" s="74"/>
    </row>
    <row r="15" spans="1:15" ht="15" x14ac:dyDescent="0.15">
      <c r="A15" s="84"/>
      <c r="B15" s="74">
        <v>250000</v>
      </c>
      <c r="C15" s="121">
        <f>LOOKUP(A1,B73:O73,B85:O85)</f>
        <v>0.26250000000000001</v>
      </c>
      <c r="D15" s="74">
        <f>IF(B14&gt;B15,B15*C15,B14*C15)</f>
        <v>65625</v>
      </c>
      <c r="E15" s="74"/>
      <c r="F15" s="88"/>
      <c r="G15" s="89"/>
      <c r="H15" s="110"/>
      <c r="I15" s="95"/>
      <c r="J15" s="74"/>
      <c r="K15" s="74"/>
      <c r="L15" s="74"/>
      <c r="M15" s="74"/>
      <c r="N15" s="74"/>
      <c r="O15" s="74"/>
    </row>
    <row r="16" spans="1:15" ht="15" x14ac:dyDescent="0.15">
      <c r="A16" s="74"/>
      <c r="B16" s="89"/>
      <c r="C16" s="97">
        <v>0.25</v>
      </c>
      <c r="D16" s="74">
        <f>IF(B14&gt;B15,(B14-B15)*C16,0)</f>
        <v>0.25</v>
      </c>
      <c r="E16" s="74"/>
      <c r="F16" s="88"/>
      <c r="G16" s="89"/>
      <c r="H16" s="110"/>
      <c r="I16" s="95"/>
      <c r="J16" s="74"/>
      <c r="K16" s="74"/>
      <c r="L16" s="74"/>
      <c r="M16" s="74"/>
      <c r="N16" s="74"/>
      <c r="O16" s="74"/>
    </row>
    <row r="17" spans="1:15" ht="15" x14ac:dyDescent="0.15">
      <c r="A17" s="88"/>
      <c r="B17" s="89"/>
      <c r="C17" s="89"/>
      <c r="D17" s="95"/>
      <c r="E17" s="74"/>
      <c r="F17" s="88"/>
      <c r="G17" s="89"/>
      <c r="H17" s="110"/>
      <c r="I17" s="95"/>
      <c r="J17" s="74"/>
      <c r="K17" s="74"/>
      <c r="L17" s="74"/>
      <c r="M17" s="74"/>
      <c r="N17" s="74"/>
      <c r="O17" s="74"/>
    </row>
    <row r="18" spans="1:15" ht="15" x14ac:dyDescent="0.15">
      <c r="A18" s="84" t="s">
        <v>10</v>
      </c>
      <c r="B18" s="89"/>
      <c r="C18" s="89"/>
      <c r="D18" s="95"/>
      <c r="E18" s="74"/>
      <c r="F18" s="88"/>
      <c r="G18" s="89"/>
      <c r="H18" s="110"/>
      <c r="I18" s="95"/>
      <c r="J18" s="74"/>
      <c r="K18" s="74"/>
      <c r="L18" s="74"/>
      <c r="M18" s="74"/>
      <c r="N18" s="74"/>
      <c r="O18" s="74"/>
    </row>
    <row r="19" spans="1:15" ht="15" x14ac:dyDescent="0.15">
      <c r="A19" s="126">
        <f>'1'!E125</f>
        <v>0</v>
      </c>
      <c r="B19" s="89">
        <f>LOOKUP(A1,B87:O87,B88:O88)</f>
        <v>200000</v>
      </c>
      <c r="C19" s="97">
        <f>LOOKUP(A1,B87:O87,B89:O89)</f>
        <v>0.16500000000000001</v>
      </c>
      <c r="D19" s="94">
        <f>IF(A19&lt;B19,A19*C19,(B19*C19)+((A19-B19)*C20))</f>
        <v>0</v>
      </c>
      <c r="E19" s="74"/>
      <c r="F19" s="88"/>
      <c r="G19" s="89"/>
      <c r="H19" s="110"/>
      <c r="I19" s="95"/>
      <c r="J19" s="74"/>
      <c r="K19" s="74"/>
      <c r="L19" s="74"/>
      <c r="M19" s="74"/>
      <c r="N19" s="74"/>
      <c r="O19" s="74"/>
    </row>
    <row r="20" spans="1:15" ht="15" x14ac:dyDescent="0.15">
      <c r="A20" s="88"/>
      <c r="B20" s="89"/>
      <c r="C20" s="97">
        <f>LOOKUP(A1,B87:O87,B90:O90)</f>
        <v>0.25</v>
      </c>
      <c r="D20" s="95"/>
      <c r="E20" s="74"/>
      <c r="F20" s="88"/>
      <c r="G20" s="89"/>
      <c r="H20" s="110"/>
      <c r="I20" s="95"/>
      <c r="J20" s="74"/>
      <c r="K20" s="74"/>
      <c r="L20" s="74"/>
      <c r="M20" s="74"/>
      <c r="N20" s="74"/>
      <c r="O20" s="74"/>
    </row>
    <row r="21" spans="1:15" x14ac:dyDescent="0.15">
      <c r="A21" s="83" t="s">
        <v>81</v>
      </c>
      <c r="B21" s="74"/>
      <c r="C21" s="74"/>
      <c r="D21" s="74"/>
      <c r="E21" s="74"/>
      <c r="F21" s="82"/>
      <c r="G21" s="77"/>
      <c r="H21" s="142"/>
      <c r="I21" s="74"/>
      <c r="J21" s="74"/>
      <c r="K21" s="74"/>
      <c r="L21" s="74"/>
      <c r="M21" s="74"/>
      <c r="N21" s="74"/>
      <c r="O21" s="74"/>
    </row>
    <row r="22" spans="1:15" x14ac:dyDescent="0.15">
      <c r="A22" s="84" t="s">
        <v>82</v>
      </c>
      <c r="B22" s="85">
        <f>LOOKUP(A1,B73:O73,B92:O92)</f>
        <v>2711</v>
      </c>
      <c r="C22" s="85"/>
      <c r="D22" s="86"/>
      <c r="E22" s="74"/>
      <c r="F22" s="84"/>
      <c r="G22" s="85"/>
      <c r="H22" s="143"/>
      <c r="I22" s="86"/>
      <c r="J22" s="74"/>
      <c r="K22" s="74"/>
      <c r="L22" s="74"/>
      <c r="M22" s="74"/>
      <c r="N22" s="74"/>
      <c r="O22" s="74"/>
    </row>
    <row r="23" spans="1:15" x14ac:dyDescent="0.15">
      <c r="A23" s="88" t="s">
        <v>83</v>
      </c>
      <c r="B23" s="89">
        <f>LOOKUP(A1,B73:O73,B94:O94)</f>
        <v>0</v>
      </c>
      <c r="C23" s="89"/>
      <c r="D23" s="91"/>
      <c r="E23" s="74"/>
      <c r="F23" s="88"/>
      <c r="G23" s="89"/>
      <c r="H23" s="110"/>
      <c r="I23" s="91"/>
      <c r="J23" s="74"/>
      <c r="K23" s="74"/>
      <c r="L23" s="74"/>
      <c r="M23" s="74"/>
      <c r="N23" s="74"/>
      <c r="O23" s="74"/>
    </row>
    <row r="24" spans="1:15" ht="15" x14ac:dyDescent="0.15">
      <c r="A24" s="88" t="s">
        <v>84</v>
      </c>
      <c r="B24" s="89">
        <f>LOOKUP($A$1,$B$73:$O$73,B74:O74)</f>
        <v>20711</v>
      </c>
      <c r="C24" s="89">
        <f>LOOKUP($A$1,$B$73:$O$73,B93:O93)</f>
        <v>5.672E-2</v>
      </c>
      <c r="D24" s="94">
        <f ca="1">MIN(MAX(IF(A3&gt;B24,B22-((A3-B24)*C24),B22),B23),D12)</f>
        <v>0</v>
      </c>
      <c r="E24" s="74"/>
      <c r="F24" s="88"/>
      <c r="G24" s="89"/>
      <c r="H24" s="110"/>
      <c r="I24" s="95"/>
      <c r="J24" s="74"/>
      <c r="K24" s="74"/>
      <c r="L24" s="74"/>
      <c r="M24" s="74"/>
      <c r="N24" s="74"/>
      <c r="O24" s="74"/>
    </row>
    <row r="25" spans="1:15" x14ac:dyDescent="0.15">
      <c r="A25" s="88"/>
      <c r="B25" s="89"/>
      <c r="C25" s="89"/>
      <c r="D25" s="98"/>
      <c r="E25" s="89"/>
      <c r="F25" s="99"/>
      <c r="G25" s="91"/>
      <c r="H25" s="110"/>
      <c r="I25" s="74"/>
      <c r="J25" s="89"/>
      <c r="K25" s="89"/>
      <c r="L25" s="89"/>
      <c r="M25" s="98"/>
      <c r="N25" s="89"/>
      <c r="O25" s="100"/>
    </row>
    <row r="26" spans="1:15" x14ac:dyDescent="0.15">
      <c r="A26" s="88"/>
      <c r="B26" s="89"/>
      <c r="C26" s="89"/>
      <c r="D26" s="98"/>
      <c r="E26" s="89"/>
      <c r="F26" s="99"/>
      <c r="G26" s="91"/>
      <c r="H26" s="110"/>
      <c r="I26" s="74"/>
      <c r="J26" s="89"/>
      <c r="K26" s="89"/>
      <c r="L26" s="89"/>
      <c r="M26" s="98"/>
      <c r="N26" s="89"/>
      <c r="O26" s="100"/>
    </row>
    <row r="27" spans="1:15" x14ac:dyDescent="0.15">
      <c r="A27" s="84" t="s">
        <v>85</v>
      </c>
      <c r="B27" s="91">
        <f>A2</f>
        <v>0</v>
      </c>
      <c r="C27" s="89"/>
      <c r="D27" s="89"/>
      <c r="E27" s="89"/>
      <c r="F27" s="92"/>
      <c r="G27" s="89"/>
      <c r="H27" s="110"/>
      <c r="I27" s="89"/>
      <c r="J27" s="74"/>
      <c r="K27" s="89"/>
      <c r="L27" s="89"/>
      <c r="M27" s="89"/>
      <c r="N27" s="89"/>
      <c r="O27" s="89"/>
    </row>
    <row r="28" spans="1:15" x14ac:dyDescent="0.15">
      <c r="A28" s="88" t="s">
        <v>76</v>
      </c>
      <c r="B28" s="74">
        <f>LOOKUP($A$1,$B$96:$O$96,B97:O97)</f>
        <v>9921</v>
      </c>
      <c r="C28" s="74">
        <f>LOOKUP($A$1,$B$96:$O$96,B102:O102)</f>
        <v>2.8119999999999999E-2</v>
      </c>
      <c r="D28" s="91">
        <f>IF(B27&gt;$B28,$B28*$C28,B27*$C28)</f>
        <v>0</v>
      </c>
      <c r="E28" s="74"/>
      <c r="F28" s="92"/>
      <c r="G28" s="74"/>
      <c r="H28" s="142"/>
      <c r="I28" s="91"/>
      <c r="J28" s="74"/>
      <c r="K28" s="74"/>
      <c r="L28" s="74"/>
      <c r="M28" s="74"/>
      <c r="N28" s="74"/>
      <c r="O28" s="74"/>
    </row>
    <row r="29" spans="1:15" x14ac:dyDescent="0.15">
      <c r="A29" s="88" t="s">
        <v>77</v>
      </c>
      <c r="B29" s="74">
        <f>LOOKUP($A$1,$B$96:$O$96,B98:O98)</f>
        <v>21430</v>
      </c>
      <c r="C29" s="74">
        <f>LOOKUP($A$1,$B$96:$O$96,B103:O103)</f>
        <v>0.28811999999999999</v>
      </c>
      <c r="D29" s="91">
        <f>MAX(IF(B27&gt;$B29,($B29-$B28)*$C29,(B27-$B28)*$C29),0)</f>
        <v>0</v>
      </c>
      <c r="E29" s="85"/>
      <c r="F29" s="92"/>
      <c r="G29" s="74"/>
      <c r="H29" s="142"/>
      <c r="I29" s="91"/>
      <c r="J29" s="74"/>
      <c r="K29" s="85"/>
      <c r="L29" s="85"/>
      <c r="M29" s="85"/>
      <c r="N29" s="85"/>
      <c r="O29" s="85"/>
    </row>
    <row r="30" spans="1:15" x14ac:dyDescent="0.15">
      <c r="A30" s="88" t="s">
        <v>78</v>
      </c>
      <c r="B30" s="74">
        <f>LOOKUP($A$1,$B$96:$O$96,B99:O99)</f>
        <v>34954</v>
      </c>
      <c r="C30" s="74">
        <f>LOOKUP($A$1,$B$96:$O$96,B104:O104)</f>
        <v>1.6559999999999998E-2</v>
      </c>
      <c r="D30" s="91">
        <f>MAX(IF(B27&gt;$B30,($B30-$B29)*$C30,(B27-$B29)*$C30),0)</f>
        <v>0</v>
      </c>
      <c r="E30" s="89"/>
      <c r="F30" s="92"/>
      <c r="G30" s="74"/>
      <c r="H30" s="142"/>
      <c r="I30" s="91"/>
      <c r="J30" s="74"/>
      <c r="K30" s="89"/>
      <c r="L30" s="89"/>
      <c r="M30" s="98"/>
      <c r="N30" s="89"/>
      <c r="O30" s="100"/>
    </row>
    <row r="31" spans="1:15" x14ac:dyDescent="0.15">
      <c r="A31" s="88" t="s">
        <v>79</v>
      </c>
      <c r="B31" s="74">
        <f>LOOKUP($A$1,$B$96:$O$96,B100:O100)</f>
        <v>98604</v>
      </c>
      <c r="C31" s="74">
        <f>-1*(LOOKUP($A$1,$B$96:$O$96,B105:O105))</f>
        <v>-0.06</v>
      </c>
      <c r="D31" s="91">
        <f>IF(B27&lt;B30,0,IF(B27&gt;$B31,($B31-$B30)*$C31,(B27-$B30)*$C31))</f>
        <v>0</v>
      </c>
      <c r="E31" s="89"/>
      <c r="F31" s="92"/>
      <c r="G31" s="74"/>
      <c r="H31" s="142"/>
      <c r="I31" s="91"/>
      <c r="J31" s="74"/>
      <c r="K31" s="89"/>
      <c r="L31" s="89"/>
      <c r="M31" s="98"/>
      <c r="N31" s="89"/>
      <c r="O31" s="100"/>
    </row>
    <row r="32" spans="1:15" ht="15" x14ac:dyDescent="0.15">
      <c r="A32" s="88" t="s">
        <v>86</v>
      </c>
      <c r="B32" s="89">
        <f>LOOKUP($A$1,$B$96:$O$96,B107:O107)</f>
        <v>3819</v>
      </c>
      <c r="C32" s="89">
        <f>LOOKUP($A$1,$B$96:$O$96,B108:O108)</f>
        <v>0</v>
      </c>
      <c r="D32" s="94">
        <f>MAX(SUM(D28:D31),C32)</f>
        <v>0</v>
      </c>
      <c r="E32" s="89"/>
      <c r="F32" s="92"/>
      <c r="G32" s="89"/>
      <c r="H32" s="110"/>
      <c r="I32" s="95"/>
      <c r="J32" s="74"/>
      <c r="K32" s="89"/>
      <c r="L32" s="89"/>
      <c r="M32" s="98"/>
      <c r="N32" s="89"/>
      <c r="O32" s="100"/>
    </row>
    <row r="33" spans="1:15" x14ac:dyDescent="0.15">
      <c r="A33" s="88"/>
      <c r="B33" s="89"/>
      <c r="C33" s="89"/>
      <c r="D33" s="91"/>
      <c r="E33" s="89"/>
      <c r="F33" s="99"/>
      <c r="G33" s="91"/>
      <c r="H33" s="110"/>
      <c r="I33" s="74"/>
      <c r="J33" s="89"/>
      <c r="K33" s="89"/>
      <c r="L33" s="89"/>
      <c r="M33" s="98"/>
      <c r="N33" s="89"/>
      <c r="O33" s="100"/>
    </row>
    <row r="34" spans="1:15" x14ac:dyDescent="0.15">
      <c r="A34" s="88" t="s">
        <v>66</v>
      </c>
      <c r="B34" s="101">
        <f>'1'!E8</f>
        <v>0</v>
      </c>
      <c r="C34" s="89"/>
      <c r="D34" s="91"/>
      <c r="E34" s="89"/>
      <c r="F34" s="88"/>
      <c r="G34" s="89"/>
      <c r="H34" s="110"/>
      <c r="I34" s="91"/>
      <c r="J34" s="89"/>
      <c r="K34" s="89"/>
      <c r="L34" s="89"/>
      <c r="M34" s="98"/>
      <c r="N34" s="89"/>
      <c r="O34" s="100"/>
    </row>
    <row r="35" spans="1:15" ht="15" x14ac:dyDescent="0.15">
      <c r="A35" s="84" t="s">
        <v>87</v>
      </c>
      <c r="B35" s="90">
        <f>LOOKUP(A1,B73:O73,B110:O110)</f>
        <v>3.5000000000000003E-2</v>
      </c>
      <c r="C35" s="89">
        <f>IF(MAX(A3-B10,0)&gt;B34,B34,MAX((A3-B10),0))</f>
        <v>0</v>
      </c>
      <c r="D35" s="102">
        <f>ROUNDDOWN(B35*C35,0)</f>
        <v>0</v>
      </c>
      <c r="E35" s="89"/>
      <c r="F35" s="88"/>
      <c r="G35" s="90"/>
      <c r="H35" s="110"/>
      <c r="I35" s="103"/>
      <c r="J35" s="89"/>
      <c r="K35" s="89"/>
      <c r="L35" s="89"/>
      <c r="M35" s="98"/>
      <c r="N35" s="89"/>
      <c r="O35" s="100"/>
    </row>
    <row r="36" spans="1:15" x14ac:dyDescent="0.15">
      <c r="A36" s="88"/>
      <c r="B36" s="89"/>
      <c r="C36" s="89"/>
      <c r="D36" s="98"/>
      <c r="E36" s="89"/>
      <c r="F36" s="100"/>
      <c r="G36" s="91"/>
      <c r="H36" s="110"/>
      <c r="I36" s="74"/>
      <c r="J36" s="89"/>
      <c r="K36" s="89"/>
      <c r="L36" s="89"/>
      <c r="M36" s="98"/>
      <c r="N36" s="89"/>
      <c r="O36" s="100"/>
    </row>
    <row r="37" spans="1:15" ht="15" x14ac:dyDescent="0.15">
      <c r="A37" s="84" t="s">
        <v>88</v>
      </c>
      <c r="B37" s="104" t="b">
        <v>1</v>
      </c>
      <c r="C37" s="89">
        <f>IF(B37,LOOKUP(A1,B129:O129,B130:O130),0)</f>
        <v>7030</v>
      </c>
      <c r="D37" s="105">
        <f>MIN(C37,A2)</f>
        <v>0</v>
      </c>
      <c r="E37" s="89"/>
      <c r="F37" s="100"/>
      <c r="G37" s="91"/>
      <c r="H37" s="110"/>
      <c r="I37" s="74"/>
      <c r="J37" s="89"/>
      <c r="K37" s="89"/>
      <c r="L37" s="89"/>
      <c r="M37" s="98"/>
      <c r="N37" s="89"/>
      <c r="O37" s="100"/>
    </row>
    <row r="38" spans="1:15" ht="15" x14ac:dyDescent="0.15">
      <c r="A38" s="84" t="s">
        <v>89</v>
      </c>
      <c r="B38" s="104"/>
      <c r="C38" s="89"/>
      <c r="D38" s="105">
        <f>IF(B38,LOOKUP(A1,B129:O129,B131:O131),0)</f>
        <v>0</v>
      </c>
      <c r="E38" s="89"/>
      <c r="F38" s="100"/>
      <c r="G38" s="91"/>
      <c r="H38" s="110"/>
      <c r="I38" s="74"/>
      <c r="J38" s="89"/>
      <c r="K38" s="89"/>
      <c r="L38" s="89"/>
      <c r="M38" s="98"/>
      <c r="N38" s="89"/>
      <c r="O38" s="100"/>
    </row>
    <row r="39" spans="1:15" ht="15" x14ac:dyDescent="0.15">
      <c r="A39" s="84"/>
      <c r="B39" s="106"/>
      <c r="C39" s="89"/>
      <c r="D39" s="107"/>
      <c r="E39" s="89"/>
      <c r="F39" s="100"/>
      <c r="G39" s="91"/>
      <c r="H39" s="110"/>
      <c r="I39" s="74"/>
      <c r="J39" s="89"/>
      <c r="K39" s="89"/>
      <c r="L39" s="89"/>
      <c r="M39" s="98"/>
      <c r="N39" s="89"/>
      <c r="O39" s="100"/>
    </row>
    <row r="40" spans="1:15" ht="15" x14ac:dyDescent="0.15">
      <c r="A40" s="84" t="s">
        <v>90</v>
      </c>
      <c r="B40" s="108">
        <f>A2-D37-D38-D59-D50</f>
        <v>0</v>
      </c>
      <c r="C40" s="89">
        <f>LOOKUP(A1,B134:O134,B135:O135)</f>
        <v>0.14000000000000001</v>
      </c>
      <c r="D40" s="111">
        <f>ROUNDUP(C40*B40,0)</f>
        <v>0</v>
      </c>
      <c r="E40" s="89"/>
      <c r="F40" s="100"/>
      <c r="G40" s="91"/>
      <c r="H40" s="110"/>
      <c r="I40" s="74"/>
      <c r="J40" s="89"/>
      <c r="K40" s="89"/>
      <c r="L40" s="89"/>
      <c r="M40" s="98"/>
      <c r="N40" s="89"/>
      <c r="O40" s="100"/>
    </row>
    <row r="41" spans="1:15" ht="15" x14ac:dyDescent="0.15">
      <c r="A41" s="88"/>
      <c r="B41" s="106"/>
      <c r="C41" s="89"/>
      <c r="D41" s="107"/>
      <c r="E41" s="89"/>
      <c r="F41" s="100"/>
      <c r="G41" s="91"/>
      <c r="H41" s="110"/>
      <c r="I41" s="74"/>
      <c r="J41" s="89"/>
      <c r="K41" s="89"/>
      <c r="L41" s="89"/>
      <c r="M41" s="98"/>
      <c r="N41" s="89"/>
      <c r="O41" s="100"/>
    </row>
    <row r="42" spans="1:15" x14ac:dyDescent="0.15">
      <c r="A42" s="84" t="s">
        <v>91</v>
      </c>
      <c r="B42" s="89">
        <f>LOOKUP(A1,B113:O113,B114:O114)</f>
        <v>5072</v>
      </c>
      <c r="C42" s="89">
        <f>LOOKUP(A1,B113:O113,B116:O116)</f>
        <v>0.11449999999999999</v>
      </c>
      <c r="D42" s="109">
        <f>ROUNDUP(IF(A3&gt;B42,(C42*(A3-B42))+B43,B43),0)</f>
        <v>0</v>
      </c>
      <c r="E42" s="89"/>
      <c r="F42" s="100"/>
      <c r="G42" s="91"/>
      <c r="H42" s="110"/>
      <c r="I42" s="74"/>
      <c r="J42" s="89"/>
      <c r="K42" s="89"/>
      <c r="L42" s="89"/>
      <c r="M42" s="98"/>
      <c r="N42" s="89"/>
      <c r="O42" s="100"/>
    </row>
    <row r="43" spans="1:15" x14ac:dyDescent="0.15">
      <c r="A43" s="88" t="s">
        <v>92</v>
      </c>
      <c r="B43" s="89">
        <f>LOOKUP($A$1,$B$113:$O$113,B117:O117)</f>
        <v>0</v>
      </c>
      <c r="C43" s="89"/>
      <c r="D43" s="109"/>
      <c r="E43" s="89"/>
      <c r="F43" s="100"/>
      <c r="G43" s="91"/>
      <c r="H43" s="110"/>
      <c r="I43" s="74"/>
      <c r="J43" s="89"/>
      <c r="K43" s="89"/>
      <c r="L43" s="89"/>
      <c r="M43" s="98"/>
      <c r="N43" s="89"/>
      <c r="O43" s="100"/>
    </row>
    <row r="44" spans="1:15" ht="15" x14ac:dyDescent="0.15">
      <c r="A44" s="88" t="s">
        <v>93</v>
      </c>
      <c r="B44" s="89">
        <f>LOOKUP($A$1,$B$113:$O$113,B118:O118)</f>
        <v>2881</v>
      </c>
      <c r="C44" s="89"/>
      <c r="D44" s="102">
        <f>MIN(D42,B44)</f>
        <v>0</v>
      </c>
      <c r="E44" s="89"/>
      <c r="F44" s="100"/>
      <c r="G44" s="91"/>
      <c r="H44" s="110"/>
      <c r="I44" s="74"/>
      <c r="J44" s="89"/>
      <c r="K44" s="89"/>
      <c r="L44" s="89"/>
      <c r="M44" s="98"/>
      <c r="N44" s="89"/>
      <c r="O44" s="100"/>
    </row>
    <row r="45" spans="1:15" x14ac:dyDescent="0.15">
      <c r="A45" s="88"/>
      <c r="B45" s="89"/>
      <c r="C45" s="89"/>
      <c r="D45" s="98"/>
      <c r="E45" s="89"/>
      <c r="F45" s="100"/>
      <c r="G45" s="91"/>
      <c r="H45" s="110"/>
      <c r="I45" s="74"/>
      <c r="J45" s="89"/>
      <c r="K45" s="89"/>
      <c r="L45" s="89"/>
      <c r="M45" s="98"/>
      <c r="N45" s="89"/>
      <c r="O45" s="100"/>
    </row>
    <row r="46" spans="1:15" ht="15" x14ac:dyDescent="0.15">
      <c r="A46" s="84" t="s">
        <v>94</v>
      </c>
      <c r="B46" s="89">
        <f>LOOKUP(A1,B120:O120,B123:O123)</f>
        <v>57232</v>
      </c>
      <c r="C46" s="179">
        <f>LOOKUP(A1,B120:O120,B122:O122)</f>
        <v>5.45E-2</v>
      </c>
      <c r="D46" s="102">
        <f>IF($A$3&gt;B46,B46*C46,A3*C46)</f>
        <v>0</v>
      </c>
      <c r="E46" s="89"/>
      <c r="F46" s="100"/>
      <c r="G46" s="91"/>
      <c r="H46" s="110"/>
      <c r="I46" s="74"/>
      <c r="J46" s="89"/>
      <c r="K46" s="89"/>
      <c r="L46" s="89"/>
      <c r="M46" s="98"/>
      <c r="N46" s="89"/>
      <c r="O46" s="100"/>
    </row>
    <row r="47" spans="1:15" ht="15" x14ac:dyDescent="0.15">
      <c r="A47" s="84" t="s">
        <v>95</v>
      </c>
      <c r="B47" s="89">
        <f>LOOKUP(A1,B120:O120,B123:O123)</f>
        <v>57232</v>
      </c>
      <c r="C47" s="89">
        <f>LOOKUP(A1,B120:O120,B121:O121)</f>
        <v>6.7000000000000004E-2</v>
      </c>
      <c r="D47" s="102">
        <f>IF($A$3&gt;B47,B47*C47,A3*C47)</f>
        <v>0</v>
      </c>
      <c r="E47" s="89"/>
      <c r="F47" s="100"/>
      <c r="G47" s="91"/>
      <c r="H47" s="110"/>
      <c r="I47" s="74"/>
      <c r="J47" s="89"/>
      <c r="K47" s="89"/>
      <c r="L47" s="89"/>
      <c r="M47" s="98"/>
      <c r="N47" s="89"/>
      <c r="O47" s="100"/>
    </row>
    <row r="48" spans="1:15" x14ac:dyDescent="0.15">
      <c r="A48" s="88"/>
      <c r="B48" s="89"/>
      <c r="C48" s="89"/>
      <c r="D48" s="98"/>
      <c r="E48" s="89"/>
      <c r="F48" s="100"/>
      <c r="G48" s="91"/>
      <c r="H48" s="110"/>
      <c r="I48" s="74"/>
      <c r="J48" s="89"/>
      <c r="K48" s="89"/>
      <c r="L48" s="89"/>
      <c r="M48" s="98"/>
      <c r="N48" s="89"/>
      <c r="O48" s="100"/>
    </row>
    <row r="49" spans="1:15" x14ac:dyDescent="0.15">
      <c r="A49" s="84" t="s">
        <v>96</v>
      </c>
      <c r="B49" s="89">
        <f>LOOKUP(A1,B125:O125,B127:O127)</f>
        <v>9218</v>
      </c>
      <c r="C49" s="89">
        <f>LOOKUP(A1,B125:O125,B126:O126)</f>
        <v>9.4399999999999998E-2</v>
      </c>
      <c r="D49" s="133">
        <f>MIN(A2*C49,B49)</f>
        <v>0</v>
      </c>
      <c r="E49" s="89"/>
      <c r="F49" s="100"/>
      <c r="G49" s="91"/>
      <c r="H49" s="110"/>
      <c r="I49" s="74"/>
      <c r="J49" s="89"/>
      <c r="K49" s="89"/>
      <c r="L49" s="89"/>
      <c r="M49" s="98"/>
      <c r="N49" s="89"/>
      <c r="O49" s="100"/>
    </row>
    <row r="50" spans="1:15" ht="15" x14ac:dyDescent="0.15">
      <c r="A50" s="88" t="b">
        <v>1</v>
      </c>
      <c r="B50" s="89">
        <f>B37*A50</f>
        <v>1</v>
      </c>
      <c r="C50" s="89"/>
      <c r="D50" s="102">
        <f>IF(B50=1,D49,0)</f>
        <v>0</v>
      </c>
      <c r="E50" s="89"/>
      <c r="F50" s="100"/>
      <c r="G50" s="91"/>
      <c r="H50" s="110"/>
      <c r="I50" s="74"/>
      <c r="J50" s="89"/>
      <c r="K50" s="89"/>
      <c r="L50" s="89"/>
      <c r="M50" s="98"/>
      <c r="N50" s="89"/>
      <c r="O50" s="100"/>
    </row>
    <row r="51" spans="1:15" x14ac:dyDescent="0.15">
      <c r="A51" s="88"/>
      <c r="B51" s="89"/>
      <c r="C51" s="89"/>
      <c r="D51" s="98"/>
      <c r="E51" s="89"/>
      <c r="F51" s="100"/>
      <c r="G51" s="91"/>
      <c r="H51" s="110"/>
      <c r="I51" s="74"/>
      <c r="J51" s="89"/>
      <c r="K51" s="89"/>
      <c r="L51" s="89"/>
      <c r="M51" s="98"/>
      <c r="N51" s="89"/>
      <c r="O51" s="100"/>
    </row>
    <row r="52" spans="1:15" ht="15" x14ac:dyDescent="0.15">
      <c r="A52" s="84" t="s">
        <v>8</v>
      </c>
      <c r="B52" s="101">
        <f>'1'!E7</f>
        <v>0</v>
      </c>
      <c r="C52" s="89"/>
      <c r="D52" s="94">
        <f>SUM(D53:D57)</f>
        <v>0</v>
      </c>
      <c r="E52" s="89"/>
      <c r="F52" s="100"/>
      <c r="G52" s="91"/>
      <c r="H52" s="110"/>
      <c r="I52" s="74"/>
      <c r="J52" s="89"/>
      <c r="K52" s="89"/>
      <c r="L52" s="89"/>
      <c r="M52" s="98"/>
      <c r="N52" s="89"/>
      <c r="O52" s="100"/>
    </row>
    <row r="53" spans="1:15" x14ac:dyDescent="0.15">
      <c r="A53" s="88" t="s">
        <v>76</v>
      </c>
      <c r="B53" s="89">
        <f>A139</f>
        <v>12500</v>
      </c>
      <c r="C53" s="90">
        <f>LOOKUP($A$1,$B$137:$O$137,B139:O139)</f>
        <v>2E-3</v>
      </c>
      <c r="D53" s="110">
        <f>IF($B$52&lt;B53,0,IF($B$52&lt;B54,$B$52*C53,0))</f>
        <v>0</v>
      </c>
      <c r="E53" s="89"/>
      <c r="F53" s="100"/>
      <c r="G53" s="91"/>
      <c r="H53" s="110"/>
      <c r="I53" s="74"/>
      <c r="J53" s="89"/>
      <c r="K53" s="89"/>
      <c r="L53" s="89"/>
      <c r="M53" s="98"/>
      <c r="N53" s="89"/>
      <c r="O53" s="100"/>
    </row>
    <row r="54" spans="1:15" x14ac:dyDescent="0.15">
      <c r="A54" s="88" t="s">
        <v>77</v>
      </c>
      <c r="B54" s="89">
        <f>A140</f>
        <v>25000</v>
      </c>
      <c r="C54" s="90">
        <f>LOOKUP($A$1,$B$137:$O$137,B140:O140)</f>
        <v>3.5000000000000001E-3</v>
      </c>
      <c r="D54" s="110">
        <f>IF($B$52&lt;B54,0,IF($B$52&lt;B55,$B$52*C54,0))</f>
        <v>0</v>
      </c>
      <c r="E54" s="89"/>
      <c r="F54" s="100"/>
      <c r="G54" s="91"/>
      <c r="H54" s="110"/>
      <c r="I54" s="74"/>
      <c r="J54" s="89"/>
      <c r="K54" s="89"/>
      <c r="L54" s="89"/>
      <c r="M54" s="98"/>
      <c r="N54" s="89"/>
      <c r="O54" s="100"/>
    </row>
    <row r="55" spans="1:15" x14ac:dyDescent="0.15">
      <c r="A55" s="88" t="s">
        <v>78</v>
      </c>
      <c r="B55" s="89">
        <f>A141</f>
        <v>50000</v>
      </c>
      <c r="C55" s="90">
        <f>LOOKUP($A$1,$B$137:$O$137,B141:O141)</f>
        <v>4.4999999999999997E-3</v>
      </c>
      <c r="D55" s="110">
        <f>IF($B$52&lt;B55,0,IF($B$52&lt;B56,$B$52*C55,0))</f>
        <v>0</v>
      </c>
      <c r="E55" s="89"/>
      <c r="F55" s="100"/>
      <c r="G55" s="91"/>
      <c r="H55" s="110"/>
      <c r="I55" s="74"/>
      <c r="J55" s="89"/>
      <c r="K55" s="89"/>
      <c r="L55" s="89"/>
      <c r="M55" s="98"/>
      <c r="N55" s="89"/>
      <c r="O55" s="100"/>
    </row>
    <row r="56" spans="1:15" x14ac:dyDescent="0.15">
      <c r="A56" s="88" t="s">
        <v>79</v>
      </c>
      <c r="B56" s="89">
        <f>A142</f>
        <v>75000</v>
      </c>
      <c r="C56" s="90">
        <f>LOOKUP($A$1,$B$137:$O$137,B142:O142)</f>
        <v>6.0000000000000001E-3</v>
      </c>
      <c r="D56" s="110">
        <f>IF($B$52&lt;B56,0,IF($B$52&lt;B57,$B$52*C56,0))</f>
        <v>0</v>
      </c>
      <c r="E56" s="89"/>
      <c r="F56" s="100"/>
      <c r="G56" s="91"/>
      <c r="H56" s="110"/>
      <c r="I56" s="74"/>
      <c r="J56" s="89"/>
      <c r="K56" s="89"/>
      <c r="L56" s="89"/>
      <c r="M56" s="98"/>
      <c r="N56" s="89"/>
      <c r="O56" s="100"/>
    </row>
    <row r="57" spans="1:15" x14ac:dyDescent="0.15">
      <c r="A57" s="88" t="s">
        <v>97</v>
      </c>
      <c r="B57" s="89">
        <f>A143</f>
        <v>1090000</v>
      </c>
      <c r="C57" s="90">
        <f>LOOKUP($A$1,$B$137:$O$137,B143:O143)</f>
        <v>2.35E-2</v>
      </c>
      <c r="D57" s="110">
        <f>IF($B$52&gt;B57,(C56*B57)+(C57*(B52-B57)),0)</f>
        <v>0</v>
      </c>
      <c r="E57" s="89"/>
      <c r="F57" s="100"/>
      <c r="G57" s="91"/>
      <c r="H57" s="110"/>
      <c r="I57" s="74"/>
      <c r="J57" s="89"/>
      <c r="K57" s="89"/>
      <c r="L57" s="89"/>
      <c r="M57" s="98"/>
      <c r="N57" s="89"/>
      <c r="O57" s="100"/>
    </row>
    <row r="58" spans="1:15" x14ac:dyDescent="0.15">
      <c r="A58" s="88"/>
      <c r="B58" s="89"/>
      <c r="C58" s="89"/>
      <c r="D58" s="98"/>
      <c r="E58" s="89"/>
      <c r="F58" s="100"/>
      <c r="G58" s="91"/>
      <c r="H58" s="110"/>
      <c r="I58" s="74"/>
      <c r="J58" s="89"/>
      <c r="K58" s="89"/>
      <c r="L58" s="89"/>
      <c r="M58" s="98"/>
      <c r="N58" s="89"/>
      <c r="O58" s="100"/>
    </row>
    <row r="59" spans="1:15" ht="15" x14ac:dyDescent="0.15">
      <c r="A59" s="84" t="s">
        <v>21</v>
      </c>
      <c r="B59" s="101">
        <f>'1'!E28</f>
        <v>0</v>
      </c>
      <c r="C59" s="89" t="b">
        <f>B37</f>
        <v>1</v>
      </c>
      <c r="D59" s="111">
        <f>IF(AND('1'!E29&lt;5000,'1'!E28&gt;525,B37),SUM(D60:D63),0)</f>
        <v>0</v>
      </c>
      <c r="E59" s="89"/>
      <c r="F59" s="100"/>
      <c r="G59" s="91"/>
      <c r="H59" s="110"/>
      <c r="I59" s="74"/>
      <c r="J59" s="89"/>
      <c r="K59" s="89"/>
      <c r="L59" s="89"/>
      <c r="M59" s="98"/>
      <c r="N59" s="89"/>
      <c r="O59" s="100"/>
    </row>
    <row r="60" spans="1:15" x14ac:dyDescent="0.15">
      <c r="A60" s="88" t="s">
        <v>76</v>
      </c>
      <c r="B60" s="89">
        <v>525</v>
      </c>
      <c r="C60" s="98">
        <v>1.2500000000000001E-2</v>
      </c>
      <c r="D60" s="110">
        <f>IF($B$59&lt;B60,0,IF($B$59&lt;B61,$A$2*C60,0))</f>
        <v>0</v>
      </c>
      <c r="E60" s="89"/>
      <c r="F60" s="100"/>
      <c r="G60" s="91"/>
      <c r="H60" s="110"/>
      <c r="I60" s="74"/>
      <c r="J60" s="89"/>
      <c r="K60" s="89"/>
      <c r="L60" s="89"/>
      <c r="M60" s="98"/>
      <c r="N60" s="89"/>
      <c r="O60" s="100"/>
    </row>
    <row r="61" spans="1:15" x14ac:dyDescent="0.15">
      <c r="A61" s="88" t="s">
        <v>77</v>
      </c>
      <c r="B61" s="89">
        <v>875</v>
      </c>
      <c r="C61" s="97">
        <v>0.02</v>
      </c>
      <c r="D61" s="110">
        <f>IF($B$59&lt;B61,0,IF($B$59&lt;B62,$A$2*C61,0))</f>
        <v>0</v>
      </c>
      <c r="E61" s="89"/>
      <c r="F61" s="100"/>
      <c r="G61" s="91"/>
      <c r="H61" s="110"/>
      <c r="I61" s="74"/>
      <c r="J61" s="89"/>
      <c r="K61" s="89"/>
      <c r="L61" s="89"/>
      <c r="M61" s="98"/>
      <c r="N61" s="89"/>
      <c r="O61" s="100"/>
    </row>
    <row r="62" spans="1:15" x14ac:dyDescent="0.15">
      <c r="A62" s="88" t="s">
        <v>78</v>
      </c>
      <c r="B62" s="89">
        <v>1225</v>
      </c>
      <c r="C62" s="97">
        <v>0.03</v>
      </c>
      <c r="D62" s="110">
        <f>IF($B$59&lt;B62,0,IF($B$59&lt;B63,$A$2*C62,0))</f>
        <v>0</v>
      </c>
      <c r="E62" s="89"/>
      <c r="F62" s="100"/>
      <c r="G62" s="91"/>
      <c r="H62" s="110"/>
      <c r="I62" s="74"/>
      <c r="J62" s="89"/>
      <c r="K62" s="89"/>
      <c r="L62" s="89"/>
      <c r="M62" s="98"/>
      <c r="N62" s="89"/>
      <c r="O62" s="100"/>
    </row>
    <row r="63" spans="1:15" x14ac:dyDescent="0.15">
      <c r="A63" s="88" t="s">
        <v>79</v>
      </c>
      <c r="B63" s="89">
        <v>1750</v>
      </c>
      <c r="C63" s="97">
        <v>0.04</v>
      </c>
      <c r="D63" s="110">
        <f>IF($B$59&lt;B63,0,$A$2*C63)</f>
        <v>0</v>
      </c>
      <c r="E63" s="89"/>
      <c r="F63" s="100"/>
      <c r="G63" s="91"/>
      <c r="H63" s="110"/>
      <c r="I63" s="74"/>
      <c r="J63" s="89"/>
      <c r="K63" s="89"/>
      <c r="L63" s="89"/>
      <c r="M63" s="98"/>
      <c r="N63" s="89"/>
      <c r="O63" s="100"/>
    </row>
    <row r="64" spans="1:15" x14ac:dyDescent="0.15">
      <c r="A64" s="88"/>
      <c r="B64" s="89"/>
      <c r="C64" s="89"/>
      <c r="D64" s="98"/>
      <c r="E64" s="89"/>
      <c r="F64" s="100"/>
      <c r="G64" s="91"/>
      <c r="H64" s="110"/>
      <c r="I64" s="74"/>
      <c r="J64" s="89"/>
      <c r="K64" s="89"/>
      <c r="L64" s="89"/>
      <c r="M64" s="98"/>
      <c r="N64" s="89"/>
      <c r="O64" s="100"/>
    </row>
    <row r="65" spans="1:20" ht="15" x14ac:dyDescent="0.15">
      <c r="A65" s="84" t="s">
        <v>98</v>
      </c>
      <c r="B65" s="89"/>
      <c r="C65" s="89"/>
      <c r="D65" s="112">
        <f ca="1">(1/(1+B66))^(B68-B67)</f>
        <v>0.62609949296284806</v>
      </c>
      <c r="E65" s="89"/>
      <c r="F65" s="100"/>
      <c r="G65" s="91"/>
      <c r="H65" s="110"/>
      <c r="I65" s="74"/>
      <c r="J65" s="89"/>
      <c r="K65" s="89"/>
      <c r="L65" s="89"/>
      <c r="M65" s="98"/>
      <c r="N65" s="89"/>
      <c r="O65" s="100"/>
    </row>
    <row r="66" spans="1:20" x14ac:dyDescent="0.15">
      <c r="A66" s="88" t="s">
        <v>99</v>
      </c>
      <c r="B66" s="113">
        <f>'1'!E15</f>
        <v>0.01</v>
      </c>
      <c r="C66" s="89"/>
      <c r="D66" s="98"/>
      <c r="E66" s="89"/>
      <c r="F66" s="100"/>
      <c r="G66" s="91"/>
      <c r="H66" s="110"/>
      <c r="I66" s="74"/>
      <c r="J66" s="89"/>
      <c r="K66" s="89"/>
      <c r="L66" s="89"/>
      <c r="M66" s="98"/>
      <c r="N66" s="89"/>
      <c r="O66" s="100"/>
    </row>
    <row r="67" spans="1:20" x14ac:dyDescent="0.15">
      <c r="A67" s="88" t="s">
        <v>100</v>
      </c>
      <c r="B67" s="114">
        <f ca="1">YEARFRAC(A4,C67)</f>
        <v>20.191666666666666</v>
      </c>
      <c r="C67" s="141">
        <f ca="1">TODAY()</f>
        <v>43900</v>
      </c>
      <c r="D67" s="147"/>
      <c r="E67" s="89"/>
      <c r="F67" s="100"/>
      <c r="G67" s="91"/>
      <c r="H67" s="110"/>
      <c r="I67" s="74"/>
      <c r="J67" s="89"/>
      <c r="K67" s="89"/>
      <c r="L67" s="89"/>
      <c r="M67" s="98"/>
      <c r="N67" s="89"/>
      <c r="O67" s="100"/>
    </row>
    <row r="68" spans="1:20" x14ac:dyDescent="0.15">
      <c r="A68" s="88" t="s">
        <v>101</v>
      </c>
      <c r="B68" s="131">
        <f>'1'!E18</f>
        <v>67.25</v>
      </c>
      <c r="C68" s="89"/>
      <c r="D68" s="98"/>
      <c r="E68" s="89"/>
      <c r="F68" s="100"/>
      <c r="G68" s="91"/>
      <c r="H68" s="110"/>
      <c r="I68" s="74"/>
      <c r="J68" s="89"/>
      <c r="K68" s="89"/>
      <c r="L68" s="89"/>
      <c r="M68" s="98"/>
      <c r="N68" s="89"/>
      <c r="O68" s="100"/>
    </row>
    <row r="69" spans="1:20" x14ac:dyDescent="0.15">
      <c r="A69" s="88"/>
      <c r="B69" s="89"/>
      <c r="C69" s="89"/>
      <c r="D69" s="98"/>
      <c r="E69" s="89"/>
      <c r="F69" s="100"/>
      <c r="G69" s="91"/>
      <c r="H69" s="110"/>
      <c r="I69" s="74"/>
      <c r="J69" s="89"/>
      <c r="K69" s="89"/>
      <c r="L69" s="89"/>
      <c r="M69" s="98"/>
      <c r="N69" s="89"/>
      <c r="O69" s="100"/>
    </row>
    <row r="70" spans="1:20" ht="15" x14ac:dyDescent="0.15">
      <c r="A70" s="115" t="s">
        <v>102</v>
      </c>
      <c r="B70" s="89"/>
      <c r="C70" s="89"/>
      <c r="D70" s="89"/>
      <c r="E70" s="89"/>
      <c r="F70" s="89"/>
      <c r="G70" s="116"/>
      <c r="H70" s="116"/>
      <c r="I70" s="74"/>
      <c r="J70" s="89"/>
      <c r="K70" s="89"/>
      <c r="L70" s="89"/>
      <c r="M70" s="89"/>
      <c r="N70" s="89"/>
      <c r="O70" s="89"/>
    </row>
    <row r="71" spans="1:20" x14ac:dyDescent="0.15">
      <c r="A71" s="82"/>
      <c r="B71" s="74"/>
      <c r="C71" s="74"/>
      <c r="D71" s="74"/>
      <c r="E71" s="74"/>
      <c r="F71" s="77"/>
      <c r="G71" s="77"/>
      <c r="H71" s="74"/>
      <c r="I71" s="74"/>
      <c r="J71" s="74"/>
      <c r="K71" s="74"/>
      <c r="L71" s="74"/>
      <c r="M71" s="74"/>
      <c r="N71" s="74"/>
      <c r="O71" s="74"/>
    </row>
    <row r="72" spans="1:20" x14ac:dyDescent="0.15">
      <c r="A72" s="211" t="s">
        <v>29</v>
      </c>
      <c r="B72" s="200"/>
      <c r="C72" s="200"/>
      <c r="D72" s="200"/>
      <c r="E72" s="201"/>
      <c r="F72" s="201"/>
      <c r="G72" s="183"/>
      <c r="H72" s="200"/>
      <c r="I72" s="200"/>
      <c r="J72" s="200"/>
      <c r="K72" s="200"/>
      <c r="L72" s="200"/>
      <c r="M72" s="200"/>
      <c r="N72" s="201"/>
      <c r="O72" s="201"/>
    </row>
    <row r="73" spans="1:20" x14ac:dyDescent="0.15">
      <c r="A73" s="211"/>
      <c r="B73" s="181">
        <v>2012</v>
      </c>
      <c r="C73" s="181">
        <v>2013</v>
      </c>
      <c r="D73" s="181">
        <v>2014</v>
      </c>
      <c r="E73" s="181">
        <v>2015</v>
      </c>
      <c r="F73" s="181">
        <v>2016</v>
      </c>
      <c r="G73" s="181">
        <v>2017</v>
      </c>
      <c r="H73" s="181">
        <v>2018</v>
      </c>
      <c r="I73" s="181">
        <v>2019</v>
      </c>
      <c r="J73" s="181">
        <v>2020</v>
      </c>
      <c r="K73" s="181">
        <v>2021</v>
      </c>
      <c r="L73" s="181">
        <v>2022</v>
      </c>
      <c r="M73" s="181">
        <v>2023</v>
      </c>
      <c r="N73" s="181">
        <v>2024</v>
      </c>
      <c r="O73" s="181">
        <v>2025</v>
      </c>
      <c r="P73"/>
      <c r="Q73"/>
      <c r="R73"/>
      <c r="S73"/>
      <c r="T73"/>
    </row>
    <row r="74" spans="1:20" x14ac:dyDescent="0.15">
      <c r="A74" s="212" t="s">
        <v>103</v>
      </c>
      <c r="B74" s="182">
        <v>18945</v>
      </c>
      <c r="C74" s="182">
        <v>19645</v>
      </c>
      <c r="D74" s="182">
        <v>19645</v>
      </c>
      <c r="E74" s="182">
        <v>19822</v>
      </c>
      <c r="F74" s="182">
        <v>19922</v>
      </c>
      <c r="G74" s="182">
        <v>19982</v>
      </c>
      <c r="H74" s="182">
        <v>20142</v>
      </c>
      <c r="I74" s="182">
        <v>20384</v>
      </c>
      <c r="J74" s="182">
        <v>20711</v>
      </c>
      <c r="K74" s="182">
        <v>20939</v>
      </c>
      <c r="L74" s="182"/>
      <c r="M74" s="182"/>
      <c r="N74" s="182"/>
      <c r="O74" s="182"/>
      <c r="P74"/>
      <c r="Q74"/>
      <c r="R74"/>
      <c r="S74"/>
      <c r="T74"/>
    </row>
    <row r="75" spans="1:20" x14ac:dyDescent="0.15">
      <c r="A75" s="212"/>
      <c r="B75" s="182">
        <f>IF($A$4&lt;1946-1-1,34055,33863)</f>
        <v>33863</v>
      </c>
      <c r="C75" s="182">
        <f>IF($A$4&lt;1946-1-1,33555,33363)</f>
        <v>33363</v>
      </c>
      <c r="D75" s="182">
        <f>IF($A$4&lt;1946-1-1,33555,33363)</f>
        <v>33363</v>
      </c>
      <c r="E75" s="182">
        <f>IF($A$4&lt;1946-1-1,33857,33589)</f>
        <v>33589</v>
      </c>
      <c r="F75" s="182">
        <f>IF($A$4&lt;1946-1-1,34027,33715)</f>
        <v>33715</v>
      </c>
      <c r="G75" s="182">
        <f>IF($A$4&lt;1946-1-1,34130,33791)</f>
        <v>33791</v>
      </c>
      <c r="H75" s="182">
        <f>IF($A$4&lt;1946-1-1,34404,33994)</f>
        <v>33994</v>
      </c>
      <c r="I75" s="182">
        <f>IF($A$4&lt;1946-1-1,34817,34300)</f>
        <v>34300</v>
      </c>
      <c r="J75" s="182">
        <f>IF($A$4&lt;1946-1-1,35375,34712)</f>
        <v>34712</v>
      </c>
      <c r="K75" s="182">
        <f>IF($A$4&lt;1946-1-1,35765,34999)</f>
        <v>34999</v>
      </c>
      <c r="L75" s="182"/>
      <c r="M75" s="182"/>
      <c r="N75" s="182"/>
      <c r="O75" s="182"/>
      <c r="P75"/>
      <c r="Q75"/>
      <c r="R75"/>
      <c r="S75"/>
      <c r="T75"/>
    </row>
    <row r="76" spans="1:20" x14ac:dyDescent="0.15">
      <c r="A76" s="212"/>
      <c r="B76" s="182">
        <v>56491</v>
      </c>
      <c r="C76" s="182">
        <v>55991</v>
      </c>
      <c r="D76" s="182">
        <v>56531</v>
      </c>
      <c r="E76" s="182">
        <v>57585</v>
      </c>
      <c r="F76" s="182">
        <v>66421</v>
      </c>
      <c r="G76" s="182">
        <v>67072</v>
      </c>
      <c r="H76" s="182">
        <v>68507</v>
      </c>
      <c r="I76" s="182">
        <v>68507</v>
      </c>
      <c r="J76" s="182">
        <v>68507</v>
      </c>
      <c r="K76" s="182">
        <v>68507</v>
      </c>
      <c r="L76" s="182"/>
      <c r="M76" s="182"/>
      <c r="N76" s="182"/>
      <c r="O76" s="182"/>
      <c r="P76"/>
      <c r="Q76"/>
      <c r="R76"/>
      <c r="S76"/>
      <c r="T76"/>
    </row>
    <row r="77" spans="1:20" x14ac:dyDescent="0.15">
      <c r="A77" s="212"/>
      <c r="B77" s="183"/>
      <c r="C77" s="183"/>
      <c r="D77" s="183"/>
      <c r="E77" s="183"/>
      <c r="F77" s="183"/>
      <c r="G77" s="183"/>
      <c r="H77" s="183"/>
      <c r="I77" s="183"/>
      <c r="J77" s="183"/>
      <c r="K77" s="183"/>
      <c r="L77" s="183"/>
      <c r="M77" s="183"/>
      <c r="N77" s="183"/>
      <c r="O77" s="183"/>
      <c r="P77"/>
      <c r="Q77"/>
      <c r="R77"/>
      <c r="S77"/>
      <c r="T77"/>
    </row>
    <row r="78" spans="1:20" x14ac:dyDescent="0.15">
      <c r="A78" s="212" t="s">
        <v>104</v>
      </c>
      <c r="B78" s="184">
        <v>17168</v>
      </c>
      <c r="C78" s="185">
        <v>17533</v>
      </c>
      <c r="D78" s="184">
        <v>17868</v>
      </c>
      <c r="E78" s="184">
        <v>18203</v>
      </c>
      <c r="F78" s="184">
        <v>18537</v>
      </c>
      <c r="G78" s="184">
        <v>18810</v>
      </c>
      <c r="H78" s="184">
        <v>19085</v>
      </c>
      <c r="I78" s="184">
        <v>19360</v>
      </c>
      <c r="J78" s="184">
        <v>19603</v>
      </c>
      <c r="K78" s="184">
        <v>19968</v>
      </c>
      <c r="L78" s="184">
        <v>20333</v>
      </c>
      <c r="M78" s="184">
        <v>20729</v>
      </c>
      <c r="N78" s="184">
        <v>20880</v>
      </c>
      <c r="O78" s="184">
        <v>21186</v>
      </c>
      <c r="P78"/>
      <c r="Q78"/>
      <c r="R78"/>
      <c r="S78"/>
      <c r="T78"/>
    </row>
    <row r="79" spans="1:20" x14ac:dyDescent="0.15">
      <c r="A79" s="212" t="s">
        <v>105</v>
      </c>
      <c r="B79" s="183" t="b">
        <f t="shared" ref="B79:O79" si="2">$A$4&lt;B78</f>
        <v>0</v>
      </c>
      <c r="C79" s="183" t="b">
        <f t="shared" si="2"/>
        <v>0</v>
      </c>
      <c r="D79" s="183" t="b">
        <f t="shared" si="2"/>
        <v>0</v>
      </c>
      <c r="E79" s="183" t="b">
        <f t="shared" si="2"/>
        <v>0</v>
      </c>
      <c r="F79" s="183" t="b">
        <f t="shared" si="2"/>
        <v>0</v>
      </c>
      <c r="G79" s="183" t="b">
        <f t="shared" si="2"/>
        <v>0</v>
      </c>
      <c r="H79" s="183" t="b">
        <f t="shared" si="2"/>
        <v>0</v>
      </c>
      <c r="I79" s="183" t="b">
        <f t="shared" si="2"/>
        <v>0</v>
      </c>
      <c r="J79" s="183" t="b">
        <f t="shared" si="2"/>
        <v>0</v>
      </c>
      <c r="K79" s="183" t="b">
        <f t="shared" si="2"/>
        <v>0</v>
      </c>
      <c r="L79" s="183" t="b">
        <f t="shared" si="2"/>
        <v>0</v>
      </c>
      <c r="M79" s="183" t="b">
        <f t="shared" si="2"/>
        <v>0</v>
      </c>
      <c r="N79" s="183" t="b">
        <f t="shared" si="2"/>
        <v>0</v>
      </c>
      <c r="O79" s="183" t="b">
        <f t="shared" si="2"/>
        <v>0</v>
      </c>
      <c r="P79"/>
      <c r="Q79"/>
      <c r="R79"/>
      <c r="S79"/>
      <c r="T79"/>
    </row>
    <row r="80" spans="1:20" x14ac:dyDescent="0.15">
      <c r="A80" s="212" t="s">
        <v>106</v>
      </c>
      <c r="B80" s="186">
        <f>IF(B79=TRUE,15.2%,33.1%)</f>
        <v>0.33100000000000002</v>
      </c>
      <c r="C80" s="186">
        <f>IF(C79=TRUE,19.1%,37%)</f>
        <v>0.37</v>
      </c>
      <c r="D80" s="186">
        <f>IF(D79=TRUE,18.35%,36.25%)</f>
        <v>0.36249999999999999</v>
      </c>
      <c r="E80" s="186">
        <f>IF(E79=TRUE,18.6%,36.5%)</f>
        <v>0.36499999999999999</v>
      </c>
      <c r="F80" s="186">
        <f>IF(F79=TRUE,18.65%,36.55%)</f>
        <v>0.36549999999999999</v>
      </c>
      <c r="G80" s="186">
        <f>IF(G79=TRUE,18.65%,36.55%)</f>
        <v>0.36549999999999999</v>
      </c>
      <c r="H80" s="186">
        <f>IF(H79=TRUE,18.65%,36.55%)</f>
        <v>0.36549999999999999</v>
      </c>
      <c r="I80" s="186">
        <f>IF(I79=TRUE,18.75%,36.65%)</f>
        <v>0.36649999999999999</v>
      </c>
      <c r="J80" s="186">
        <f>IF(J79=TRUE,19.45%,37.35%)</f>
        <v>0.3735</v>
      </c>
      <c r="K80" s="186">
        <f>IF(K79=TRUE,19.2%,37.1%)</f>
        <v>0.371</v>
      </c>
      <c r="L80" s="186"/>
      <c r="M80" s="186"/>
      <c r="N80" s="186"/>
      <c r="O80" s="186"/>
      <c r="P80"/>
      <c r="Q80"/>
      <c r="R80"/>
      <c r="S80"/>
      <c r="T80"/>
    </row>
    <row r="81" spans="1:20" x14ac:dyDescent="0.15">
      <c r="A81" s="212" t="s">
        <v>107</v>
      </c>
      <c r="B81" s="186">
        <f>IF(B79=TRUE,24.05%,41.95%)</f>
        <v>0.41950000000000004</v>
      </c>
      <c r="C81" s="186">
        <f>IF(C79=TRUE,24.1%,42%)</f>
        <v>0.42</v>
      </c>
      <c r="D81" s="186">
        <f>IF(D79=TRUE,24.1%,42%)</f>
        <v>0.42</v>
      </c>
      <c r="E81" s="186">
        <f>IF(E79=TRUE,24.1%,42%)</f>
        <v>0.42</v>
      </c>
      <c r="F81" s="186">
        <f>IF(F79=TRUE,22.5%,40.4%)</f>
        <v>0.40399999999999997</v>
      </c>
      <c r="G81" s="186">
        <f>IF(G79=TRUE,22.9%,40.8%)</f>
        <v>0.40799999999999997</v>
      </c>
      <c r="H81" s="186">
        <f>IF(H79=TRUE,22.95%,40.85%)</f>
        <v>0.40850000000000003</v>
      </c>
      <c r="I81" s="186">
        <f>IF(I79=TRUE,20.2%,38.1%)</f>
        <v>0.38100000000000001</v>
      </c>
      <c r="J81" s="186">
        <f>IF(J79=TRUE,19.45%,37.35%)</f>
        <v>0.3735</v>
      </c>
      <c r="K81" s="186">
        <f>IF(K79=TRUE,19.2%,37.1%)</f>
        <v>0.371</v>
      </c>
      <c r="L81" s="186"/>
      <c r="M81" s="186"/>
      <c r="N81" s="186"/>
      <c r="O81" s="186"/>
      <c r="P81"/>
      <c r="Q81"/>
      <c r="R81"/>
      <c r="S81"/>
      <c r="T81"/>
    </row>
    <row r="82" spans="1:20" x14ac:dyDescent="0.15">
      <c r="A82" s="212" t="s">
        <v>108</v>
      </c>
      <c r="B82" s="186">
        <v>0.42</v>
      </c>
      <c r="C82" s="186">
        <v>0.42</v>
      </c>
      <c r="D82" s="186">
        <v>0.42</v>
      </c>
      <c r="E82" s="186">
        <v>0.42</v>
      </c>
      <c r="F82" s="186">
        <v>0.40400000000000003</v>
      </c>
      <c r="G82" s="186">
        <v>0.40799999999999997</v>
      </c>
      <c r="H82" s="186">
        <v>0.40849999999999997</v>
      </c>
      <c r="I82" s="186">
        <v>0.38100000000000001</v>
      </c>
      <c r="J82" s="186">
        <v>0.3735</v>
      </c>
      <c r="K82" s="186">
        <v>0.371</v>
      </c>
      <c r="L82" s="186"/>
      <c r="M82" s="186"/>
      <c r="N82" s="186"/>
      <c r="O82" s="186"/>
      <c r="P82"/>
      <c r="Q82"/>
      <c r="R82"/>
      <c r="S82"/>
      <c r="T82"/>
    </row>
    <row r="83" spans="1:20" x14ac:dyDescent="0.15">
      <c r="A83" s="212" t="s">
        <v>109</v>
      </c>
      <c r="B83" s="186">
        <v>0.52</v>
      </c>
      <c r="C83" s="186">
        <v>0.52</v>
      </c>
      <c r="D83" s="186">
        <v>0.52</v>
      </c>
      <c r="E83" s="186">
        <v>0.52</v>
      </c>
      <c r="F83" s="186">
        <v>0.52</v>
      </c>
      <c r="G83" s="186">
        <v>0.52</v>
      </c>
      <c r="H83" s="186">
        <v>0.51949999999999996</v>
      </c>
      <c r="I83" s="186">
        <v>0.51749999999999996</v>
      </c>
      <c r="J83" s="186">
        <v>0.495</v>
      </c>
      <c r="K83" s="186">
        <v>0.495</v>
      </c>
      <c r="L83" s="186"/>
      <c r="M83" s="186"/>
      <c r="N83" s="187"/>
      <c r="O83" s="187"/>
      <c r="P83"/>
      <c r="Q83"/>
      <c r="R83"/>
      <c r="S83"/>
      <c r="T83"/>
    </row>
    <row r="84" spans="1:20" x14ac:dyDescent="0.15">
      <c r="A84" s="212"/>
      <c r="B84" s="183"/>
      <c r="C84" s="183"/>
      <c r="D84" s="183"/>
      <c r="E84" s="183"/>
      <c r="F84" s="183"/>
      <c r="G84" s="183"/>
      <c r="H84" s="183"/>
      <c r="I84" s="183"/>
      <c r="J84" s="183"/>
      <c r="K84" s="183"/>
      <c r="L84" s="183"/>
      <c r="M84" s="183"/>
      <c r="N84" s="183"/>
      <c r="O84" s="183"/>
      <c r="P84"/>
      <c r="Q84"/>
      <c r="R84"/>
      <c r="S84"/>
      <c r="T84"/>
    </row>
    <row r="85" spans="1:20" x14ac:dyDescent="0.15">
      <c r="A85" s="212" t="s">
        <v>80</v>
      </c>
      <c r="B85" s="188">
        <v>0.25</v>
      </c>
      <c r="C85" s="188">
        <v>0.25</v>
      </c>
      <c r="D85" s="188">
        <v>0.22</v>
      </c>
      <c r="E85" s="188">
        <v>0.25</v>
      </c>
      <c r="F85" s="188">
        <v>0.25</v>
      </c>
      <c r="G85" s="188">
        <v>0.25</v>
      </c>
      <c r="H85" s="188">
        <v>0.25</v>
      </c>
      <c r="I85" s="188">
        <v>0.25</v>
      </c>
      <c r="J85" s="186">
        <v>0.26250000000000001</v>
      </c>
      <c r="K85" s="186">
        <v>0.26900000000000002</v>
      </c>
      <c r="L85" s="183"/>
      <c r="M85" s="183"/>
      <c r="N85" s="183"/>
      <c r="O85" s="183"/>
      <c r="P85"/>
      <c r="Q85"/>
      <c r="R85"/>
      <c r="S85"/>
      <c r="T85"/>
    </row>
    <row r="86" spans="1:20" x14ac:dyDescent="0.15">
      <c r="A86" s="212"/>
      <c r="B86" s="183"/>
      <c r="C86" s="183"/>
      <c r="D86" s="183"/>
      <c r="E86" s="183"/>
      <c r="F86" s="183"/>
      <c r="G86" s="183"/>
      <c r="H86" s="183"/>
      <c r="I86" s="183"/>
      <c r="J86" s="183"/>
      <c r="K86" s="183"/>
      <c r="L86" s="183"/>
      <c r="M86" s="183"/>
      <c r="N86" s="183"/>
      <c r="O86" s="183"/>
      <c r="P86"/>
      <c r="Q86"/>
      <c r="R86"/>
      <c r="S86"/>
      <c r="T86"/>
    </row>
    <row r="87" spans="1:20" x14ac:dyDescent="0.15">
      <c r="A87" s="211" t="s">
        <v>10</v>
      </c>
      <c r="B87" s="181">
        <v>2012</v>
      </c>
      <c r="C87" s="181">
        <v>2013</v>
      </c>
      <c r="D87" s="181">
        <v>2014</v>
      </c>
      <c r="E87" s="181">
        <v>2015</v>
      </c>
      <c r="F87" s="181">
        <v>2016</v>
      </c>
      <c r="G87" s="181">
        <v>2017</v>
      </c>
      <c r="H87" s="181">
        <v>2018</v>
      </c>
      <c r="I87" s="181">
        <v>2019</v>
      </c>
      <c r="J87" s="181">
        <v>2020</v>
      </c>
      <c r="K87" s="181">
        <v>2021</v>
      </c>
      <c r="L87" s="181">
        <v>2022</v>
      </c>
      <c r="M87" s="181">
        <v>2023</v>
      </c>
      <c r="N87" s="181">
        <v>2024</v>
      </c>
      <c r="O87" s="181">
        <v>2025</v>
      </c>
      <c r="P87"/>
      <c r="Q87"/>
      <c r="R87"/>
      <c r="S87"/>
      <c r="T87"/>
    </row>
    <row r="88" spans="1:20" x14ac:dyDescent="0.15">
      <c r="A88" s="212" t="s">
        <v>110</v>
      </c>
      <c r="B88" s="183">
        <v>200000</v>
      </c>
      <c r="C88" s="183">
        <v>200000</v>
      </c>
      <c r="D88" s="183">
        <v>200000</v>
      </c>
      <c r="E88" s="183">
        <v>200000</v>
      </c>
      <c r="F88" s="183">
        <v>200000</v>
      </c>
      <c r="G88" s="183">
        <v>200000</v>
      </c>
      <c r="H88" s="183">
        <v>200000</v>
      </c>
      <c r="I88" s="183">
        <v>200000</v>
      </c>
      <c r="J88" s="183">
        <v>200000</v>
      </c>
      <c r="K88" s="183">
        <v>200000</v>
      </c>
      <c r="L88" s="183"/>
      <c r="M88" s="183"/>
      <c r="N88" s="183"/>
      <c r="O88" s="183"/>
      <c r="P88"/>
      <c r="Q88"/>
      <c r="R88"/>
      <c r="S88"/>
      <c r="T88"/>
    </row>
    <row r="89" spans="1:20" x14ac:dyDescent="0.15">
      <c r="A89" s="212" t="s">
        <v>111</v>
      </c>
      <c r="B89" s="188">
        <v>0.2</v>
      </c>
      <c r="C89" s="188">
        <v>0.2</v>
      </c>
      <c r="D89" s="188">
        <v>0.2</v>
      </c>
      <c r="E89" s="188">
        <v>0.2</v>
      </c>
      <c r="F89" s="188">
        <v>0.2</v>
      </c>
      <c r="G89" s="188">
        <v>0.2</v>
      </c>
      <c r="H89" s="188">
        <v>0.2</v>
      </c>
      <c r="I89" s="189">
        <v>0.19</v>
      </c>
      <c r="J89" s="189">
        <v>0.16500000000000001</v>
      </c>
      <c r="K89" s="189">
        <v>0.15</v>
      </c>
      <c r="L89" s="188"/>
      <c r="M89" s="188"/>
      <c r="N89" s="188"/>
      <c r="O89" s="188"/>
      <c r="P89"/>
      <c r="Q89"/>
      <c r="R89"/>
      <c r="S89"/>
      <c r="T89"/>
    </row>
    <row r="90" spans="1:20" x14ac:dyDescent="0.15">
      <c r="A90" s="212" t="s">
        <v>112</v>
      </c>
      <c r="B90" s="188">
        <v>0.25</v>
      </c>
      <c r="C90" s="188">
        <v>0.25</v>
      </c>
      <c r="D90" s="188">
        <v>0.25</v>
      </c>
      <c r="E90" s="188">
        <v>0.25</v>
      </c>
      <c r="F90" s="188">
        <v>0.25</v>
      </c>
      <c r="G90" s="188">
        <v>0.25</v>
      </c>
      <c r="H90" s="188">
        <v>0.25</v>
      </c>
      <c r="I90" s="189">
        <v>0.25</v>
      </c>
      <c r="J90" s="189">
        <v>0.25</v>
      </c>
      <c r="K90" s="189">
        <v>0.217</v>
      </c>
      <c r="L90" s="188"/>
      <c r="M90" s="188"/>
      <c r="N90" s="188"/>
      <c r="O90" s="188"/>
      <c r="P90"/>
      <c r="Q90"/>
      <c r="R90"/>
      <c r="S90"/>
      <c r="T90"/>
    </row>
    <row r="91" spans="1:20" x14ac:dyDescent="0.15">
      <c r="A91" s="212"/>
      <c r="B91" s="183"/>
      <c r="C91" s="183"/>
      <c r="D91" s="183"/>
      <c r="E91" s="183"/>
      <c r="F91" s="183"/>
      <c r="G91" s="183"/>
      <c r="H91" s="183"/>
      <c r="I91" s="183"/>
      <c r="J91" s="183"/>
      <c r="K91" s="183"/>
      <c r="L91" s="183"/>
      <c r="M91" s="183"/>
      <c r="N91" s="183"/>
      <c r="O91" s="183"/>
      <c r="P91"/>
      <c r="Q91"/>
      <c r="R91"/>
      <c r="S91"/>
      <c r="T91"/>
    </row>
    <row r="92" spans="1:20" x14ac:dyDescent="0.15">
      <c r="A92" s="211" t="s">
        <v>113</v>
      </c>
      <c r="B92" s="190">
        <f>IF(B79=TRUE,934,2001)</f>
        <v>2001</v>
      </c>
      <c r="C92" s="190">
        <f>IF(C79=TRUE,1034,2033)</f>
        <v>2033</v>
      </c>
      <c r="D92" s="190">
        <f>IF(D79=TRUE,1065,2103)</f>
        <v>2103</v>
      </c>
      <c r="E92" s="190">
        <f>IF(E79=TRUE,1123,2203)</f>
        <v>2203</v>
      </c>
      <c r="F92" s="190">
        <f>IF(F79=TRUE,1145,2242)</f>
        <v>2242</v>
      </c>
      <c r="G92" s="190">
        <f>IF(G79=TRUE,1151,2254)</f>
        <v>2254</v>
      </c>
      <c r="H92" s="190">
        <f>IF(H79=TRUE,1157,2265)</f>
        <v>2265</v>
      </c>
      <c r="I92" s="190">
        <f>IF(I79=TRUE,1268,2477)</f>
        <v>2477</v>
      </c>
      <c r="J92" s="190">
        <f>IF(J79=TRUE,1413,2711)</f>
        <v>2711</v>
      </c>
      <c r="K92" s="190">
        <f>IF(K79=TRUE,1453,2801)</f>
        <v>2801</v>
      </c>
      <c r="L92" s="190"/>
      <c r="M92" s="190"/>
      <c r="N92" s="191"/>
      <c r="O92" s="191"/>
      <c r="P92"/>
      <c r="Q92"/>
      <c r="R92"/>
      <c r="S92"/>
      <c r="T92"/>
    </row>
    <row r="93" spans="1:20" x14ac:dyDescent="0.15">
      <c r="A93" s="212" t="s">
        <v>114</v>
      </c>
      <c r="B93" s="192">
        <v>0</v>
      </c>
      <c r="C93" s="192">
        <v>0</v>
      </c>
      <c r="D93" s="193">
        <f>IF(D79=TRUE,2%,2%)</f>
        <v>0.02</v>
      </c>
      <c r="E93" s="193">
        <f>IF(E79=TRUE,1.183%,2.32%)</f>
        <v>2.3199999999999998E-2</v>
      </c>
      <c r="F93" s="193">
        <f>IF(F79=TRUE,2.46%,4.822%)</f>
        <v>4.8219999999999999E-2</v>
      </c>
      <c r="G93" s="193">
        <f>IF(G79=TRUE,2.443%,4.787%)</f>
        <v>4.7869999999999996E-2</v>
      </c>
      <c r="H93" s="193">
        <f>IF(H79=TRUE,2.389%,4.683%)</f>
        <v>4.6829999999999997E-2</v>
      </c>
      <c r="I93" s="193">
        <f>IF(I79=TRUE,2.633%,5.147%)</f>
        <v>5.1470000000000002E-2</v>
      </c>
      <c r="J93" s="193">
        <f>IF(J79=TRUE,2.954%,5.672%)</f>
        <v>5.672E-2</v>
      </c>
      <c r="K93" s="193">
        <f>IF(K79=TRUE,3.054%,5.888%)</f>
        <v>5.8880000000000002E-2</v>
      </c>
      <c r="L93" s="186"/>
      <c r="M93" s="186"/>
      <c r="N93" s="186"/>
      <c r="O93" s="186"/>
      <c r="P93"/>
      <c r="Q93"/>
      <c r="R93"/>
      <c r="S93"/>
      <c r="T93"/>
    </row>
    <row r="94" spans="1:20" x14ac:dyDescent="0.15">
      <c r="A94" s="212" t="s">
        <v>115</v>
      </c>
      <c r="B94" s="194">
        <f>B92</f>
        <v>2001</v>
      </c>
      <c r="C94" s="194">
        <f>C92</f>
        <v>2033</v>
      </c>
      <c r="D94" s="195">
        <f>IF(D79=TRUE,693,1366)</f>
        <v>1366</v>
      </c>
      <c r="E94" s="195">
        <f>IF(E79=TRUE,685,1342)</f>
        <v>1342</v>
      </c>
      <c r="F94" s="195">
        <v>0</v>
      </c>
      <c r="G94" s="195">
        <v>0</v>
      </c>
      <c r="H94" s="195">
        <v>0</v>
      </c>
      <c r="I94" s="195">
        <v>0</v>
      </c>
      <c r="J94" s="195">
        <v>0</v>
      </c>
      <c r="K94" s="195">
        <v>0</v>
      </c>
      <c r="L94" s="194"/>
      <c r="M94" s="194"/>
      <c r="N94" s="194"/>
      <c r="O94" s="194"/>
      <c r="P94"/>
      <c r="Q94"/>
      <c r="R94"/>
      <c r="S94"/>
      <c r="T94"/>
    </row>
    <row r="95" spans="1:20" x14ac:dyDescent="0.15">
      <c r="A95" s="212"/>
      <c r="B95" s="186"/>
      <c r="C95" s="183"/>
      <c r="D95" s="196"/>
      <c r="E95" s="197"/>
      <c r="F95" s="197"/>
      <c r="G95" s="183"/>
      <c r="H95" s="183"/>
      <c r="I95" s="183"/>
      <c r="J95" s="183"/>
      <c r="K95" s="186"/>
      <c r="L95" s="183"/>
      <c r="M95" s="196"/>
      <c r="N95" s="197"/>
      <c r="O95" s="197"/>
      <c r="P95"/>
      <c r="Q95"/>
      <c r="R95"/>
      <c r="S95"/>
      <c r="T95"/>
    </row>
    <row r="96" spans="1:20" x14ac:dyDescent="0.15">
      <c r="A96" s="211" t="s">
        <v>64</v>
      </c>
      <c r="B96" s="181">
        <v>2012</v>
      </c>
      <c r="C96" s="181">
        <v>2013</v>
      </c>
      <c r="D96" s="181">
        <v>2014</v>
      </c>
      <c r="E96" s="181">
        <v>2015</v>
      </c>
      <c r="F96" s="181">
        <v>2016</v>
      </c>
      <c r="G96" s="181">
        <v>2017</v>
      </c>
      <c r="H96" s="181">
        <v>2018</v>
      </c>
      <c r="I96" s="181">
        <v>2019</v>
      </c>
      <c r="J96" s="181">
        <v>2020</v>
      </c>
      <c r="K96" s="181">
        <v>2021</v>
      </c>
      <c r="L96" s="181">
        <v>2022</v>
      </c>
      <c r="M96" s="181">
        <v>2023</v>
      </c>
      <c r="N96" s="181">
        <v>2024</v>
      </c>
      <c r="O96" s="181">
        <v>2025</v>
      </c>
      <c r="P96"/>
      <c r="Q96"/>
      <c r="R96"/>
      <c r="S96"/>
      <c r="T96"/>
    </row>
    <row r="97" spans="1:20" x14ac:dyDescent="0.15">
      <c r="A97" s="212" t="s">
        <v>76</v>
      </c>
      <c r="B97" s="194">
        <v>9295</v>
      </c>
      <c r="C97" s="194">
        <v>8816</v>
      </c>
      <c r="D97" s="194">
        <v>8913</v>
      </c>
      <c r="E97" s="198">
        <v>9010</v>
      </c>
      <c r="F97" s="198">
        <v>9147</v>
      </c>
      <c r="G97" s="194">
        <v>9309</v>
      </c>
      <c r="H97" s="194">
        <v>9468</v>
      </c>
      <c r="I97" s="194">
        <v>9694</v>
      </c>
      <c r="J97" s="194">
        <v>9921</v>
      </c>
      <c r="K97" s="199">
        <v>9922</v>
      </c>
      <c r="L97" s="194"/>
      <c r="M97" s="194"/>
      <c r="N97" s="198"/>
      <c r="O97" s="198"/>
      <c r="P97"/>
      <c r="Q97"/>
      <c r="R97"/>
      <c r="S97"/>
      <c r="T97"/>
    </row>
    <row r="98" spans="1:20" x14ac:dyDescent="0.15">
      <c r="A98" s="212" t="s">
        <v>77</v>
      </c>
      <c r="B98" s="194">
        <v>21059</v>
      </c>
      <c r="C98" s="194">
        <v>18502</v>
      </c>
      <c r="D98" s="194">
        <v>19248</v>
      </c>
      <c r="E98" s="194">
        <v>19463</v>
      </c>
      <c r="F98" s="194">
        <v>19758</v>
      </c>
      <c r="G98" s="194">
        <v>20108</v>
      </c>
      <c r="H98" s="194">
        <v>20450</v>
      </c>
      <c r="I98" s="194">
        <v>20940</v>
      </c>
      <c r="J98" s="194">
        <v>21430</v>
      </c>
      <c r="K98" s="199">
        <f>K74</f>
        <v>20939</v>
      </c>
      <c r="L98" s="194">
        <f t="shared" ref="L98:O98" si="3">L74</f>
        <v>0</v>
      </c>
      <c r="M98" s="194">
        <f t="shared" si="3"/>
        <v>0</v>
      </c>
      <c r="N98" s="194">
        <f t="shared" si="3"/>
        <v>0</v>
      </c>
      <c r="O98" s="194">
        <f t="shared" si="3"/>
        <v>0</v>
      </c>
      <c r="P98"/>
      <c r="Q98"/>
      <c r="R98"/>
      <c r="S98"/>
      <c r="T98"/>
    </row>
    <row r="99" spans="1:20" x14ac:dyDescent="0.15">
      <c r="A99" s="212" t="s">
        <v>78</v>
      </c>
      <c r="B99" s="190">
        <v>45181</v>
      </c>
      <c r="C99" s="190">
        <v>40248</v>
      </c>
      <c r="D99" s="190">
        <v>40721</v>
      </c>
      <c r="E99" s="191">
        <v>49770</v>
      </c>
      <c r="F99" s="191">
        <v>34015</v>
      </c>
      <c r="G99" s="194">
        <v>32444</v>
      </c>
      <c r="H99" s="190">
        <v>33112</v>
      </c>
      <c r="I99" s="190">
        <v>34060</v>
      </c>
      <c r="J99" s="190">
        <v>34954</v>
      </c>
      <c r="K99" s="213">
        <v>34955</v>
      </c>
      <c r="L99" s="190"/>
      <c r="M99" s="190"/>
      <c r="N99" s="191"/>
      <c r="O99" s="191"/>
      <c r="P99"/>
      <c r="Q99"/>
      <c r="R99"/>
      <c r="S99"/>
      <c r="T99"/>
    </row>
    <row r="100" spans="1:20" x14ac:dyDescent="0.15">
      <c r="A100" s="212" t="s">
        <v>79</v>
      </c>
      <c r="B100" s="194">
        <v>514.17999999999995</v>
      </c>
      <c r="C100" s="194">
        <v>69573</v>
      </c>
      <c r="D100" s="194">
        <v>83971</v>
      </c>
      <c r="E100" s="194">
        <v>100670</v>
      </c>
      <c r="F100" s="194">
        <v>111590</v>
      </c>
      <c r="G100" s="194">
        <v>121972</v>
      </c>
      <c r="H100" s="194">
        <v>123362</v>
      </c>
      <c r="I100" s="194">
        <v>90710</v>
      </c>
      <c r="J100" s="194">
        <f>(J107/J105)+J99</f>
        <v>98604</v>
      </c>
      <c r="K100" s="199">
        <f>(K107/K105)+K99</f>
        <v>104005</v>
      </c>
      <c r="L100" s="194"/>
      <c r="M100" s="194"/>
      <c r="N100" s="194"/>
      <c r="O100" s="194"/>
      <c r="P100"/>
      <c r="Q100"/>
      <c r="R100"/>
      <c r="S100"/>
      <c r="T100"/>
    </row>
    <row r="101" spans="1:20" x14ac:dyDescent="0.15">
      <c r="A101" s="212"/>
      <c r="B101" s="183"/>
      <c r="C101" s="183"/>
      <c r="D101" s="186"/>
      <c r="E101" s="183"/>
      <c r="F101" s="196"/>
      <c r="G101" s="197"/>
      <c r="H101" s="197"/>
      <c r="I101" s="183"/>
      <c r="J101" s="183"/>
      <c r="K101" s="183"/>
      <c r="L101" s="183"/>
      <c r="M101" s="186"/>
      <c r="N101" s="183"/>
      <c r="O101" s="196"/>
      <c r="P101"/>
      <c r="Q101"/>
      <c r="R101"/>
      <c r="S101"/>
      <c r="T101"/>
    </row>
    <row r="102" spans="1:20" x14ac:dyDescent="0.15">
      <c r="A102" s="212" t="s">
        <v>106</v>
      </c>
      <c r="B102" s="183">
        <f>IF(B79=TRUE,0.796%,1.733%)</f>
        <v>1.7330000000000002E-2</v>
      </c>
      <c r="C102" s="183">
        <f>IF(C79=TRUE,0.943%,1.827%)</f>
        <v>1.8269999999999998E-2</v>
      </c>
      <c r="D102" s="183">
        <f>IF(D79=TRUE,0.915%,1.807%)</f>
        <v>1.8069999999999999E-2</v>
      </c>
      <c r="E102" s="183">
        <f>IF(E79=TRUE,0.922%,1.81%)</f>
        <v>1.8100000000000002E-2</v>
      </c>
      <c r="F102" s="183">
        <f>IF(F79=TRUE,0.915%,1.793%)</f>
        <v>1.7929999999999998E-2</v>
      </c>
      <c r="G102" s="183">
        <f>IF(G79=TRUE,0.904%,1.772%)</f>
        <v>1.772E-2</v>
      </c>
      <c r="H102" s="183">
        <f>IF(H79=TRUE,0.901%,1.764%)</f>
        <v>1.7639999999999999E-2</v>
      </c>
      <c r="I102" s="183">
        <f>IF(I79=TRUE,0.898%,1.754%)</f>
        <v>1.754E-2</v>
      </c>
      <c r="J102" s="183">
        <f>IF(J79=TRUE,1.464%,2.812%)</f>
        <v>2.8119999999999999E-2</v>
      </c>
      <c r="K102" s="96">
        <f>IF(K79=TRUE,1.464%,2.812%)</f>
        <v>2.8119999999999999E-2</v>
      </c>
      <c r="L102" s="183"/>
      <c r="M102" s="186"/>
      <c r="N102" s="183"/>
      <c r="O102" s="196"/>
      <c r="P102"/>
      <c r="Q102"/>
      <c r="R102"/>
      <c r="S102"/>
      <c r="T102"/>
    </row>
    <row r="103" spans="1:20" x14ac:dyDescent="0.15">
      <c r="A103" s="212" t="s">
        <v>107</v>
      </c>
      <c r="B103" s="183">
        <f>IF(B79=TRUE,5.657%,12.32%)</f>
        <v>0.1232</v>
      </c>
      <c r="C103" s="183">
        <f>IF(C79=TRUE,8.319%,16.115%)</f>
        <v>0.16114999999999999</v>
      </c>
      <c r="D103" s="183">
        <f>IF(D79=TRUE,9.479%,18.724%)</f>
        <v>0.18723999999999999</v>
      </c>
      <c r="E103" s="183">
        <f>IF(E79=TRUE,10.028%,19.679%)</f>
        <v>0.19678999999999999</v>
      </c>
      <c r="F103" s="183">
        <f>IF(F79=TRUE,14.133%,27.698%)</f>
        <v>0.27698</v>
      </c>
      <c r="G103" s="183">
        <f>IF(G79=TRUE,14.449%,28.317%)</f>
        <v>0.28316999999999998</v>
      </c>
      <c r="H103" s="183">
        <f>IF(H79=TRUE,14.32%,28.064%)</f>
        <v>0.28064</v>
      </c>
      <c r="I103" s="183">
        <f>IF(I79=TRUE,14.689%,28.712%)</f>
        <v>0.28711999999999999</v>
      </c>
      <c r="J103" s="183">
        <f>IF(J79=TRUE,15.004%,28.812%)</f>
        <v>0.28811999999999999</v>
      </c>
      <c r="K103" s="96">
        <f>IF(K79=TRUE,15.004%,28.812%)</f>
        <v>0.28811999999999999</v>
      </c>
      <c r="L103" s="183"/>
      <c r="M103" s="186"/>
      <c r="N103" s="183"/>
      <c r="O103" s="196"/>
      <c r="P103"/>
      <c r="Q103"/>
      <c r="R103"/>
      <c r="S103"/>
      <c r="T103"/>
    </row>
    <row r="104" spans="1:20" x14ac:dyDescent="0.15">
      <c r="A104" s="212" t="s">
        <v>108</v>
      </c>
      <c r="B104" s="183">
        <v>0</v>
      </c>
      <c r="C104" s="183">
        <v>0</v>
      </c>
      <c r="D104" s="183">
        <v>0</v>
      </c>
      <c r="E104" s="183">
        <v>0</v>
      </c>
      <c r="F104" s="183">
        <v>0</v>
      </c>
      <c r="G104" s="183">
        <v>0</v>
      </c>
      <c r="H104" s="183">
        <v>0</v>
      </c>
      <c r="I104" s="183">
        <v>0</v>
      </c>
      <c r="J104" s="183">
        <f>IF(J79=TRUE,0.862%,1.656%)</f>
        <v>1.6559999999999998E-2</v>
      </c>
      <c r="K104" s="96">
        <f>IF(K79=TRUE,0.862%,1.656%)</f>
        <v>1.6559999999999998E-2</v>
      </c>
      <c r="L104" s="183"/>
      <c r="M104" s="183"/>
      <c r="N104" s="183"/>
      <c r="O104" s="183"/>
      <c r="P104"/>
      <c r="Q104"/>
      <c r="R104"/>
      <c r="S104"/>
      <c r="T104"/>
    </row>
    <row r="105" spans="1:20" x14ac:dyDescent="0.15">
      <c r="A105" s="212" t="s">
        <v>109</v>
      </c>
      <c r="B105" s="183">
        <f>IF(B79=TRUE,0.574%,1.25%)</f>
        <v>1.2500000000000001E-2</v>
      </c>
      <c r="C105" s="183">
        <f>IF(C79=TRUE,2.064%,4%)</f>
        <v>0.04</v>
      </c>
      <c r="D105" s="183">
        <f>IF(D79=TRUE,2.025%,4%)</f>
        <v>0.04</v>
      </c>
      <c r="E105" s="183">
        <f>IF(E79=TRUE,2.038%,4%)</f>
        <v>0.04</v>
      </c>
      <c r="F105" s="183">
        <f>IF(F79=TRUE,2.041%,4%)</f>
        <v>0.04</v>
      </c>
      <c r="G105" s="183">
        <f>IF(G79=TRUE,1.837%,3.6%)</f>
        <v>3.6000000000000004E-2</v>
      </c>
      <c r="H105" s="183">
        <f>IF(H79=TRUE,1.837%,3.6%)</f>
        <v>3.6000000000000004E-2</v>
      </c>
      <c r="I105" s="183">
        <f>IF(I79=TRUE,3.069%,6%)</f>
        <v>0.06</v>
      </c>
      <c r="J105" s="183">
        <f>IF(J79=TRUE,3.124%,6%)</f>
        <v>0.06</v>
      </c>
      <c r="K105" s="96">
        <f>IF(K79=TRUE,3.124%,6%)</f>
        <v>0.06</v>
      </c>
      <c r="L105" s="183"/>
      <c r="M105" s="183"/>
      <c r="N105" s="183"/>
      <c r="O105" s="183"/>
      <c r="P105"/>
      <c r="Q105"/>
      <c r="R105"/>
      <c r="S105"/>
      <c r="T105"/>
    </row>
    <row r="106" spans="1:20" x14ac:dyDescent="0.15">
      <c r="A106" s="211"/>
      <c r="B106" s="200"/>
      <c r="C106" s="200"/>
      <c r="D106" s="200"/>
      <c r="E106" s="200"/>
      <c r="F106" s="200"/>
      <c r="G106" s="201"/>
      <c r="H106" s="201"/>
      <c r="I106" s="183"/>
      <c r="J106" s="200"/>
      <c r="K106" s="200"/>
      <c r="L106" s="200"/>
      <c r="M106" s="200"/>
      <c r="N106" s="200"/>
      <c r="O106" s="200"/>
      <c r="P106"/>
      <c r="Q106"/>
      <c r="R106"/>
      <c r="S106"/>
      <c r="T106"/>
    </row>
    <row r="107" spans="1:20" x14ac:dyDescent="0.15">
      <c r="A107" s="212" t="s">
        <v>116</v>
      </c>
      <c r="B107" s="183">
        <f>IF(B79=TRUE,740,1611)</f>
        <v>1611</v>
      </c>
      <c r="C107" s="183">
        <f>IF(C79=TRUE,890,1723)</f>
        <v>1723</v>
      </c>
      <c r="D107" s="183">
        <f>IF(D79=TRUE,1062,2097)</f>
        <v>2097</v>
      </c>
      <c r="E107" s="183">
        <f>IF(E79=TRUE,1132,2220)</f>
        <v>2220</v>
      </c>
      <c r="F107" s="183">
        <f>IF(F79=TRUE,1585,3103)</f>
        <v>3103</v>
      </c>
      <c r="G107" s="183">
        <f>IF(G79=TRUE,1645,3223)</f>
        <v>3223</v>
      </c>
      <c r="H107" s="183">
        <f>IF(H79=TRUE,1659,3249)</f>
        <v>3249</v>
      </c>
      <c r="I107" s="183">
        <f>IF(I79=TRUE,1745,3399)</f>
        <v>3399</v>
      </c>
      <c r="J107" s="183">
        <f>IF(J79=TRUE,1989,3819)</f>
        <v>3819</v>
      </c>
      <c r="K107" s="183">
        <f>IF(K79=TRUE,2147,4143)</f>
        <v>4143</v>
      </c>
      <c r="L107" s="183"/>
      <c r="M107" s="186"/>
      <c r="N107" s="183"/>
      <c r="O107" s="196"/>
      <c r="P107"/>
      <c r="Q107"/>
      <c r="R107"/>
      <c r="S107"/>
      <c r="T107"/>
    </row>
    <row r="108" spans="1:20" x14ac:dyDescent="0.15">
      <c r="A108" s="212" t="s">
        <v>117</v>
      </c>
      <c r="B108" s="183">
        <f>IF(B79=TRUE,704,740)</f>
        <v>740</v>
      </c>
      <c r="C108" s="183">
        <f>IF(C79=TRUE,284,550)</f>
        <v>550</v>
      </c>
      <c r="D108" s="183">
        <f>IF(D79=TRUE,186,367)</f>
        <v>367</v>
      </c>
      <c r="E108" s="183">
        <f>IF(E79=TRUE,94,184)</f>
        <v>184</v>
      </c>
      <c r="F108" s="183">
        <v>0</v>
      </c>
      <c r="G108" s="183">
        <v>0</v>
      </c>
      <c r="H108" s="183">
        <v>0</v>
      </c>
      <c r="I108" s="183">
        <v>0</v>
      </c>
      <c r="J108" s="183">
        <v>0</v>
      </c>
      <c r="K108" s="183">
        <v>0</v>
      </c>
      <c r="L108" s="183"/>
      <c r="M108" s="186"/>
      <c r="N108" s="183"/>
      <c r="O108" s="196"/>
      <c r="P108"/>
      <c r="Q108"/>
      <c r="R108"/>
      <c r="S108"/>
      <c r="T108"/>
    </row>
    <row r="109" spans="1:20" x14ac:dyDescent="0.15">
      <c r="A109" s="212"/>
      <c r="B109" s="183"/>
      <c r="C109" s="183"/>
      <c r="D109" s="186"/>
      <c r="E109" s="183"/>
      <c r="F109" s="196"/>
      <c r="G109" s="197"/>
      <c r="H109" s="197"/>
      <c r="I109" s="183"/>
      <c r="J109" s="183"/>
      <c r="K109" s="183"/>
      <c r="L109" s="183"/>
      <c r="M109" s="186"/>
      <c r="N109" s="183"/>
      <c r="O109" s="196"/>
      <c r="P109"/>
      <c r="Q109"/>
      <c r="R109"/>
      <c r="S109"/>
      <c r="T109"/>
    </row>
    <row r="110" spans="1:20" x14ac:dyDescent="0.15">
      <c r="A110" s="211" t="s">
        <v>87</v>
      </c>
      <c r="B110" s="119">
        <v>0</v>
      </c>
      <c r="C110" s="119">
        <v>0</v>
      </c>
      <c r="D110" s="119">
        <v>5.0000000000000001E-3</v>
      </c>
      <c r="E110" s="119">
        <v>0.01</v>
      </c>
      <c r="F110" s="119">
        <v>1.4999999999999999E-2</v>
      </c>
      <c r="G110" s="119">
        <v>0.02</v>
      </c>
      <c r="H110" s="90">
        <v>2.4500000000000001E-2</v>
      </c>
      <c r="I110" s="90">
        <v>2.75E-2</v>
      </c>
      <c r="J110" s="90">
        <v>3.5000000000000003E-2</v>
      </c>
      <c r="K110" s="177">
        <v>6.5000000000000002E-2</v>
      </c>
      <c r="L110" s="119">
        <v>4.4999999999999998E-2</v>
      </c>
      <c r="M110" s="119">
        <v>0.05</v>
      </c>
      <c r="N110" s="119">
        <v>5.5E-2</v>
      </c>
      <c r="O110" s="119">
        <v>0.06</v>
      </c>
      <c r="P110"/>
      <c r="Q110"/>
      <c r="R110"/>
      <c r="S110"/>
      <c r="T110"/>
    </row>
    <row r="111" spans="1:20" x14ac:dyDescent="0.15">
      <c r="A111" s="212"/>
      <c r="B111" s="119"/>
      <c r="C111" s="119"/>
      <c r="D111" s="119"/>
      <c r="E111" s="119"/>
      <c r="F111" s="119"/>
      <c r="G111" s="119"/>
      <c r="H111" s="90"/>
      <c r="I111" s="119">
        <v>0</v>
      </c>
      <c r="J111" s="90">
        <v>3.5000000000000003E-2</v>
      </c>
      <c r="K111" s="177">
        <v>6.5000000000000002E-2</v>
      </c>
      <c r="L111" s="119"/>
      <c r="M111" s="119"/>
      <c r="N111" s="119"/>
      <c r="O111" s="119"/>
      <c r="P111"/>
      <c r="Q111"/>
      <c r="R111"/>
      <c r="S111"/>
      <c r="T111"/>
    </row>
    <row r="112" spans="1:20" x14ac:dyDescent="0.15">
      <c r="A112" s="212"/>
      <c r="B112" s="119"/>
      <c r="C112" s="119"/>
      <c r="D112" s="119"/>
      <c r="E112" s="119"/>
      <c r="F112" s="119"/>
      <c r="G112" s="119"/>
      <c r="H112" s="90"/>
      <c r="I112" s="119"/>
      <c r="J112" s="90"/>
      <c r="K112" s="90"/>
      <c r="L112" s="119"/>
      <c r="M112" s="119"/>
      <c r="N112" s="119"/>
      <c r="O112" s="119"/>
      <c r="P112"/>
      <c r="Q112"/>
      <c r="R112"/>
      <c r="S112"/>
      <c r="T112"/>
    </row>
    <row r="113" spans="1:20" x14ac:dyDescent="0.15">
      <c r="A113" s="211" t="s">
        <v>91</v>
      </c>
      <c r="B113" s="181">
        <v>2012</v>
      </c>
      <c r="C113" s="181">
        <v>2013</v>
      </c>
      <c r="D113" s="181">
        <v>2014</v>
      </c>
      <c r="E113" s="181">
        <v>2015</v>
      </c>
      <c r="F113" s="181">
        <v>2016</v>
      </c>
      <c r="G113" s="181">
        <v>2017</v>
      </c>
      <c r="H113" s="181">
        <v>2018</v>
      </c>
      <c r="I113" s="181">
        <v>2019</v>
      </c>
      <c r="J113" s="181">
        <v>2020</v>
      </c>
      <c r="K113" s="181">
        <v>2021</v>
      </c>
      <c r="L113" s="181">
        <v>2022</v>
      </c>
      <c r="M113" s="181">
        <v>2023</v>
      </c>
      <c r="N113" s="181">
        <v>2024</v>
      </c>
      <c r="O113" s="181">
        <v>2025</v>
      </c>
      <c r="P113"/>
      <c r="Q113"/>
      <c r="R113"/>
      <c r="S113"/>
      <c r="T113"/>
    </row>
    <row r="114" spans="1:20" x14ac:dyDescent="0.15">
      <c r="A114" s="212" t="s">
        <v>76</v>
      </c>
      <c r="B114" s="183">
        <v>4814</v>
      </c>
      <c r="C114" s="183">
        <v>4814</v>
      </c>
      <c r="D114" s="183">
        <v>4814</v>
      </c>
      <c r="E114" s="183">
        <v>4857</v>
      </c>
      <c r="F114" s="183">
        <v>4881</v>
      </c>
      <c r="G114" s="183">
        <v>4895</v>
      </c>
      <c r="H114" s="183">
        <v>4934</v>
      </c>
      <c r="I114" s="183">
        <v>4993</v>
      </c>
      <c r="J114" s="183">
        <v>5072</v>
      </c>
      <c r="K114" s="183">
        <v>5142</v>
      </c>
      <c r="L114" s="183"/>
      <c r="M114" s="183"/>
      <c r="N114" s="183"/>
      <c r="O114" s="183"/>
      <c r="P114"/>
      <c r="Q114"/>
      <c r="R114"/>
      <c r="S114"/>
      <c r="T114"/>
    </row>
    <row r="115" spans="1:20" x14ac:dyDescent="0.15">
      <c r="A115" s="212" t="s">
        <v>77</v>
      </c>
      <c r="B115" s="183">
        <v>32539</v>
      </c>
      <c r="C115" s="183">
        <v>32539</v>
      </c>
      <c r="D115" s="183">
        <v>32539</v>
      </c>
      <c r="E115" s="183">
        <v>32832</v>
      </c>
      <c r="F115" s="183">
        <v>32969</v>
      </c>
      <c r="G115" s="183">
        <v>33065</v>
      </c>
      <c r="H115" s="183">
        <v>33331</v>
      </c>
      <c r="I115" s="183">
        <v>29753</v>
      </c>
      <c r="J115" s="183">
        <v>30234</v>
      </c>
      <c r="K115" s="96">
        <v>33331</v>
      </c>
      <c r="L115" s="183"/>
      <c r="M115" s="183"/>
      <c r="N115" s="183"/>
      <c r="O115" s="183"/>
      <c r="P115"/>
      <c r="Q115"/>
      <c r="R115"/>
      <c r="S115"/>
      <c r="T115"/>
    </row>
    <row r="116" spans="1:20" x14ac:dyDescent="0.15">
      <c r="A116" s="212" t="s">
        <v>118</v>
      </c>
      <c r="B116" s="120">
        <f>IF(B79=TRUE,1.837%,4%)</f>
        <v>0.04</v>
      </c>
      <c r="C116" s="120">
        <f>IF(C79=TRUE,2.064%,4%)</f>
        <v>0.04</v>
      </c>
      <c r="D116" s="120">
        <f>IF(D79=TRUE,2.038%,4%)</f>
        <v>0.04</v>
      </c>
      <c r="E116" s="120">
        <f>IF(E79=TRUE,2.037%,4%)</f>
        <v>0.04</v>
      </c>
      <c r="F116" s="120">
        <f>IF(F79=TRUE,3.143%,6.159%)</f>
        <v>6.1589999999999999E-2</v>
      </c>
      <c r="G116" s="120">
        <f>IF(G79=TRUE,3.143%,6.159%)</f>
        <v>6.1589999999999999E-2</v>
      </c>
      <c r="H116" s="120">
        <f>IF(H79=TRUE,3.143%,6.159%)</f>
        <v>6.1589999999999999E-2</v>
      </c>
      <c r="I116" s="120">
        <f>IF(I79=TRUE,5.86%,11.45%)</f>
        <v>0.11449999999999999</v>
      </c>
      <c r="J116" s="120">
        <f>IF(J79=TRUE,5.963%,11.45%)</f>
        <v>0.11449999999999999</v>
      </c>
      <c r="K116" s="178">
        <f>IF(K79=TRUE,5.963%,11.45%)</f>
        <v>0.11449999999999999</v>
      </c>
      <c r="L116" s="122"/>
      <c r="M116" s="122"/>
      <c r="N116" s="122"/>
      <c r="O116" s="122"/>
      <c r="P116"/>
      <c r="Q116"/>
      <c r="R116"/>
      <c r="S116"/>
      <c r="T116"/>
    </row>
    <row r="117" spans="1:20" x14ac:dyDescent="0.15">
      <c r="A117" s="212" t="s">
        <v>83</v>
      </c>
      <c r="B117" s="183">
        <f>IF($B$37=TRUE,IF(B79=TRUE,471,1024),0)</f>
        <v>1024</v>
      </c>
      <c r="C117" s="183">
        <f>IF($B$37=TRUE,IF(C79=TRUE,529,1024),0)</f>
        <v>1024</v>
      </c>
      <c r="D117" s="183">
        <f>IF($B$37=TRUE,IF(D79=TRUE,528,1024),0)</f>
        <v>1024</v>
      </c>
      <c r="E117" s="183">
        <f>IF($B$37=TRUE,IF(E79=TRUE,528,1033),0)</f>
        <v>1033</v>
      </c>
      <c r="F117" s="183">
        <f>IF($B$37=TRUE,IF(F79=TRUE,531,1039),0)</f>
        <v>1039</v>
      </c>
      <c r="G117" s="183">
        <f>IF($B$37=TRUE,IF(G79=TRUE,533,1043),0)</f>
        <v>1043</v>
      </c>
      <c r="H117" s="183">
        <f>IF($B$37=TRUE,IF(H79=TRUE,537,1052),0)</f>
        <v>1052</v>
      </c>
      <c r="I117" s="183">
        <f>IF($B$37=TRUE,IF(I79=TRUE,0,0),0)</f>
        <v>0</v>
      </c>
      <c r="J117" s="183">
        <f>IF($B$37=TRUE,IF(J79=TRUE,0,0),0)</f>
        <v>0</v>
      </c>
      <c r="K117" s="96">
        <f>IF($B$37=TRUE,IF(K79=TRUE,0,0),0)</f>
        <v>0</v>
      </c>
      <c r="L117" s="183"/>
      <c r="M117" s="186"/>
      <c r="N117" s="183"/>
      <c r="O117" s="196"/>
      <c r="P117"/>
      <c r="Q117"/>
      <c r="R117"/>
      <c r="S117"/>
      <c r="T117"/>
    </row>
    <row r="118" spans="1:20" x14ac:dyDescent="0.15">
      <c r="A118" s="212" t="s">
        <v>82</v>
      </c>
      <c r="B118" s="183">
        <f>IF(B79=TRUE,980,2133)</f>
        <v>2133</v>
      </c>
      <c r="C118" s="183">
        <f>IF(C79=TRUE,1102,2133)</f>
        <v>2133</v>
      </c>
      <c r="D118" s="183">
        <f>IF(D79=TRUE,1081,2133)</f>
        <v>2133</v>
      </c>
      <c r="E118" s="183">
        <f>IF(E79=TRUE,1098,2152)</f>
        <v>2152</v>
      </c>
      <c r="F118" s="183">
        <f>IF(F79=TRUE,1413,2769)</f>
        <v>2769</v>
      </c>
      <c r="G118" s="183">
        <f>IF(G79=TRUE,1418,2778)</f>
        <v>2778</v>
      </c>
      <c r="H118" s="183">
        <f>IF(H79=TRUE,1431,2801)</f>
        <v>2801</v>
      </c>
      <c r="I118" s="183">
        <f>IF(I79=TRUE,1452,2835)</f>
        <v>2835</v>
      </c>
      <c r="J118" s="183">
        <f>IF(J79=TRUE,1452,2881)</f>
        <v>2881</v>
      </c>
      <c r="K118" s="183">
        <f>IF(K79=TRUE,1452,2881)</f>
        <v>2881</v>
      </c>
      <c r="L118" s="183"/>
      <c r="M118" s="186"/>
      <c r="N118" s="183"/>
      <c r="O118" s="196"/>
      <c r="P118"/>
      <c r="Q118"/>
      <c r="R118"/>
      <c r="S118"/>
      <c r="T118"/>
    </row>
    <row r="119" spans="1:20" x14ac:dyDescent="0.15">
      <c r="A119" s="212"/>
      <c r="B119" s="183"/>
      <c r="C119" s="183"/>
      <c r="D119" s="186"/>
      <c r="E119" s="183"/>
      <c r="F119" s="196"/>
      <c r="G119" s="197"/>
      <c r="H119" s="197"/>
      <c r="I119" s="183"/>
      <c r="J119" s="183"/>
      <c r="K119" s="183"/>
      <c r="L119" s="183"/>
      <c r="M119" s="186"/>
      <c r="N119" s="183"/>
      <c r="O119" s="196"/>
      <c r="P119"/>
      <c r="Q119"/>
      <c r="R119"/>
      <c r="S119"/>
      <c r="T119"/>
    </row>
    <row r="120" spans="1:20" x14ac:dyDescent="0.15">
      <c r="A120" s="181" t="s">
        <v>119</v>
      </c>
      <c r="B120" s="181">
        <v>2012</v>
      </c>
      <c r="C120" s="181">
        <v>2013</v>
      </c>
      <c r="D120" s="181">
        <v>2014</v>
      </c>
      <c r="E120" s="181">
        <v>2015</v>
      </c>
      <c r="F120" s="181">
        <v>2016</v>
      </c>
      <c r="G120" s="181">
        <v>2017</v>
      </c>
      <c r="H120" s="181">
        <v>2018</v>
      </c>
      <c r="I120" s="181">
        <v>2019</v>
      </c>
      <c r="J120" s="181">
        <v>2020</v>
      </c>
      <c r="K120" s="181">
        <v>2021</v>
      </c>
      <c r="L120" s="181">
        <v>2022</v>
      </c>
      <c r="M120" s="181">
        <v>2023</v>
      </c>
      <c r="N120" s="181">
        <v>2024</v>
      </c>
      <c r="O120" s="181">
        <v>2025</v>
      </c>
      <c r="P120"/>
      <c r="Q120"/>
      <c r="R120"/>
      <c r="S120"/>
      <c r="T120"/>
    </row>
    <row r="121" spans="1:20" x14ac:dyDescent="0.15">
      <c r="A121" s="212" t="s">
        <v>120</v>
      </c>
      <c r="B121" s="90">
        <v>7.0999999999999994E-2</v>
      </c>
      <c r="C121" s="90">
        <v>7.7499999999999999E-2</v>
      </c>
      <c r="D121" s="90">
        <v>7.4999999999999997E-2</v>
      </c>
      <c r="E121" s="90">
        <v>6.9500000000000006E-2</v>
      </c>
      <c r="F121" s="90">
        <v>6.7500000000000004E-2</v>
      </c>
      <c r="G121" s="90">
        <v>6.6500000000000004E-2</v>
      </c>
      <c r="H121" s="90">
        <v>6.9000000000000006E-2</v>
      </c>
      <c r="I121" s="186">
        <v>6.9500000000000006E-2</v>
      </c>
      <c r="J121" s="186">
        <v>6.7000000000000004E-2</v>
      </c>
      <c r="K121" s="175">
        <f t="shared" ref="K121:O123" si="4">J121</f>
        <v>6.7000000000000004E-2</v>
      </c>
      <c r="L121" s="175">
        <f t="shared" si="4"/>
        <v>6.7000000000000004E-2</v>
      </c>
      <c r="M121" s="175">
        <f t="shared" si="4"/>
        <v>6.7000000000000004E-2</v>
      </c>
      <c r="N121" s="175">
        <f t="shared" si="4"/>
        <v>6.7000000000000004E-2</v>
      </c>
      <c r="O121" s="175">
        <f t="shared" si="4"/>
        <v>6.7000000000000004E-2</v>
      </c>
      <c r="P121"/>
      <c r="Q121"/>
      <c r="R121"/>
      <c r="S121"/>
      <c r="T121"/>
    </row>
    <row r="122" spans="1:20" x14ac:dyDescent="0.15">
      <c r="A122" s="212" t="s">
        <v>121</v>
      </c>
      <c r="B122" s="123">
        <v>0.05</v>
      </c>
      <c r="C122" s="123">
        <v>5.6500000000000002E-2</v>
      </c>
      <c r="D122" s="123">
        <v>5.3999999999999999E-2</v>
      </c>
      <c r="E122" s="123">
        <v>4.8500000000000001E-2</v>
      </c>
      <c r="F122" s="90">
        <v>5.5E-2</v>
      </c>
      <c r="G122" s="90">
        <v>5.3999999999999999E-2</v>
      </c>
      <c r="H122" s="90">
        <v>5.6500000000000002E-2</v>
      </c>
      <c r="I122" s="186">
        <v>5.7000000000000002E-2</v>
      </c>
      <c r="J122" s="186">
        <v>5.45E-2</v>
      </c>
      <c r="K122" s="175">
        <f t="shared" si="4"/>
        <v>5.45E-2</v>
      </c>
      <c r="L122" s="175">
        <f t="shared" si="4"/>
        <v>5.45E-2</v>
      </c>
      <c r="M122" s="175">
        <f t="shared" si="4"/>
        <v>5.45E-2</v>
      </c>
      <c r="N122" s="175">
        <f t="shared" si="4"/>
        <v>5.45E-2</v>
      </c>
      <c r="O122" s="175">
        <f t="shared" si="4"/>
        <v>5.45E-2</v>
      </c>
      <c r="P122"/>
      <c r="Q122"/>
      <c r="R122"/>
      <c r="S122"/>
      <c r="T122"/>
    </row>
    <row r="123" spans="1:20" x14ac:dyDescent="0.15">
      <c r="A123" s="212" t="s">
        <v>122</v>
      </c>
      <c r="B123" s="203">
        <v>50064</v>
      </c>
      <c r="C123" s="203">
        <v>50853</v>
      </c>
      <c r="D123" s="203">
        <v>51414</v>
      </c>
      <c r="E123" s="203">
        <v>51976</v>
      </c>
      <c r="F123" s="203">
        <v>52763</v>
      </c>
      <c r="G123" s="204">
        <v>53701</v>
      </c>
      <c r="H123" s="205">
        <v>54614</v>
      </c>
      <c r="I123" s="205">
        <v>55923</v>
      </c>
      <c r="J123" s="182">
        <v>57232</v>
      </c>
      <c r="K123" s="206">
        <f t="shared" si="4"/>
        <v>57232</v>
      </c>
      <c r="L123" s="206">
        <f t="shared" si="4"/>
        <v>57232</v>
      </c>
      <c r="M123" s="206">
        <f t="shared" si="4"/>
        <v>57232</v>
      </c>
      <c r="N123" s="206">
        <f t="shared" si="4"/>
        <v>57232</v>
      </c>
      <c r="O123" s="206">
        <f t="shared" si="4"/>
        <v>57232</v>
      </c>
      <c r="P123"/>
      <c r="Q123"/>
      <c r="R123"/>
      <c r="S123"/>
      <c r="T123"/>
    </row>
    <row r="124" spans="1:20" x14ac:dyDescent="0.15">
      <c r="A124" s="212"/>
      <c r="B124" s="183"/>
      <c r="C124" s="183"/>
      <c r="D124" s="186"/>
      <c r="E124" s="183"/>
      <c r="F124" s="196"/>
      <c r="G124" s="197"/>
      <c r="H124" s="197"/>
      <c r="I124" s="183"/>
      <c r="J124" s="183"/>
      <c r="K124" s="183"/>
      <c r="L124" s="183"/>
      <c r="M124" s="186"/>
      <c r="N124" s="183"/>
      <c r="O124" s="196"/>
      <c r="P124"/>
      <c r="Q124"/>
      <c r="R124"/>
      <c r="S124"/>
      <c r="T124"/>
    </row>
    <row r="125" spans="1:20" x14ac:dyDescent="0.15">
      <c r="A125" s="211" t="s">
        <v>96</v>
      </c>
      <c r="B125" s="181">
        <v>2012</v>
      </c>
      <c r="C125" s="181">
        <v>2013</v>
      </c>
      <c r="D125" s="181">
        <v>2014</v>
      </c>
      <c r="E125" s="181">
        <v>2015</v>
      </c>
      <c r="F125" s="181">
        <v>2016</v>
      </c>
      <c r="G125" s="181">
        <v>2017</v>
      </c>
      <c r="H125" s="181">
        <v>2018</v>
      </c>
      <c r="I125" s="181">
        <v>2019</v>
      </c>
      <c r="J125" s="181">
        <v>2020</v>
      </c>
      <c r="K125" s="181">
        <v>2021</v>
      </c>
      <c r="L125" s="181">
        <v>2022</v>
      </c>
      <c r="M125" s="181">
        <v>2023</v>
      </c>
      <c r="N125" s="181">
        <v>2024</v>
      </c>
      <c r="O125" s="181">
        <v>2025</v>
      </c>
      <c r="P125"/>
      <c r="Q125"/>
      <c r="R125"/>
      <c r="S125"/>
      <c r="T125"/>
    </row>
    <row r="126" spans="1:20" x14ac:dyDescent="0.15">
      <c r="A126" s="212" t="s">
        <v>9</v>
      </c>
      <c r="B126" s="124">
        <v>0.12</v>
      </c>
      <c r="C126" s="124">
        <v>0.12</v>
      </c>
      <c r="D126" s="186">
        <v>0.109</v>
      </c>
      <c r="E126" s="90">
        <v>9.8000000000000004E-2</v>
      </c>
      <c r="F126" s="90">
        <v>9.8000000000000004E-2</v>
      </c>
      <c r="G126" s="90">
        <v>9.8000000000000004E-2</v>
      </c>
      <c r="H126" s="90">
        <v>9.4399999999999998E-2</v>
      </c>
      <c r="I126" s="90">
        <v>9.4399999999999998E-2</v>
      </c>
      <c r="J126" s="90">
        <f>I126</f>
        <v>9.4399999999999998E-2</v>
      </c>
      <c r="K126" s="177">
        <f t="shared" ref="K126:O127" si="5">J126</f>
        <v>9.4399999999999998E-2</v>
      </c>
      <c r="L126" s="177">
        <f t="shared" si="5"/>
        <v>9.4399999999999998E-2</v>
      </c>
      <c r="M126" s="177">
        <f t="shared" si="5"/>
        <v>9.4399999999999998E-2</v>
      </c>
      <c r="N126" s="177">
        <f t="shared" si="5"/>
        <v>9.4399999999999998E-2</v>
      </c>
      <c r="O126" s="177">
        <f t="shared" si="5"/>
        <v>9.4399999999999998E-2</v>
      </c>
      <c r="P126"/>
      <c r="Q126"/>
      <c r="R126"/>
      <c r="S126"/>
      <c r="T126"/>
    </row>
    <row r="127" spans="1:20" x14ac:dyDescent="0.15">
      <c r="A127" s="212" t="s">
        <v>123</v>
      </c>
      <c r="B127" s="182">
        <v>9542</v>
      </c>
      <c r="C127" s="182">
        <v>9542</v>
      </c>
      <c r="D127" s="182">
        <v>9542</v>
      </c>
      <c r="E127" s="182">
        <v>8631</v>
      </c>
      <c r="F127" s="182">
        <v>8774</v>
      </c>
      <c r="G127" s="182">
        <v>8946</v>
      </c>
      <c r="H127" s="182">
        <v>8775</v>
      </c>
      <c r="I127" s="182">
        <v>8999</v>
      </c>
      <c r="J127" s="182">
        <v>9218</v>
      </c>
      <c r="K127" s="206">
        <f t="shared" si="5"/>
        <v>9218</v>
      </c>
      <c r="L127" s="206">
        <f t="shared" si="5"/>
        <v>9218</v>
      </c>
      <c r="M127" s="206">
        <f t="shared" si="5"/>
        <v>9218</v>
      </c>
      <c r="N127" s="206">
        <f t="shared" si="5"/>
        <v>9218</v>
      </c>
      <c r="O127" s="206">
        <f t="shared" si="5"/>
        <v>9218</v>
      </c>
      <c r="P127"/>
      <c r="Q127"/>
      <c r="R127"/>
      <c r="S127"/>
      <c r="T127"/>
    </row>
    <row r="128" spans="1:20" x14ac:dyDescent="0.15">
      <c r="A128" s="212"/>
      <c r="B128" s="183"/>
      <c r="C128" s="183"/>
      <c r="D128" s="183"/>
      <c r="E128" s="183"/>
      <c r="F128" s="183"/>
      <c r="G128" s="202"/>
      <c r="H128" s="202"/>
      <c r="I128" s="183"/>
      <c r="J128" s="183"/>
      <c r="K128" s="183"/>
      <c r="L128" s="183"/>
      <c r="M128" s="183"/>
      <c r="N128" s="183"/>
      <c r="O128" s="183"/>
      <c r="P128"/>
      <c r="Q128"/>
      <c r="R128"/>
      <c r="S128"/>
      <c r="T128"/>
    </row>
    <row r="129" spans="1:20" x14ac:dyDescent="0.15">
      <c r="A129" s="181"/>
      <c r="B129" s="181">
        <v>2012</v>
      </c>
      <c r="C129" s="181">
        <v>2013</v>
      </c>
      <c r="D129" s="181">
        <v>2014</v>
      </c>
      <c r="E129" s="181">
        <v>2015</v>
      </c>
      <c r="F129" s="181">
        <v>2016</v>
      </c>
      <c r="G129" s="181">
        <v>2017</v>
      </c>
      <c r="H129" s="181">
        <v>2018</v>
      </c>
      <c r="I129" s="181">
        <v>2019</v>
      </c>
      <c r="J129" s="181">
        <v>2020</v>
      </c>
      <c r="K129" s="181">
        <v>2021</v>
      </c>
      <c r="L129" s="181">
        <v>2022</v>
      </c>
      <c r="M129" s="181">
        <v>2023</v>
      </c>
      <c r="N129" s="181">
        <v>2024</v>
      </c>
      <c r="O129" s="181">
        <v>2025</v>
      </c>
      <c r="P129" s="181">
        <v>2026</v>
      </c>
      <c r="Q129" s="181">
        <v>2027</v>
      </c>
      <c r="R129" s="181">
        <v>2028</v>
      </c>
      <c r="S129" s="181">
        <v>2029</v>
      </c>
      <c r="T129" s="181">
        <v>2030</v>
      </c>
    </row>
    <row r="130" spans="1:20" x14ac:dyDescent="0.15">
      <c r="A130" s="211" t="s">
        <v>11</v>
      </c>
      <c r="B130" s="183">
        <f t="shared" ref="B130:G130" si="6">IF($B79,3640,7280)</f>
        <v>7280</v>
      </c>
      <c r="C130" s="183">
        <f t="shared" si="6"/>
        <v>7280</v>
      </c>
      <c r="D130" s="183">
        <f t="shared" si="6"/>
        <v>7280</v>
      </c>
      <c r="E130" s="183">
        <f t="shared" si="6"/>
        <v>7280</v>
      </c>
      <c r="F130" s="183">
        <f t="shared" si="6"/>
        <v>7280</v>
      </c>
      <c r="G130" s="183">
        <f t="shared" si="6"/>
        <v>7280</v>
      </c>
      <c r="H130" s="183">
        <f>IF(H79,3640,7280)</f>
        <v>7280</v>
      </c>
      <c r="I130" s="183">
        <f>IF(I79,3640,7280)</f>
        <v>7280</v>
      </c>
      <c r="J130" s="183">
        <f>I130-250</f>
        <v>7030</v>
      </c>
      <c r="K130" s="96">
        <f t="shared" ref="K130:O130" si="7">J130-250</f>
        <v>6780</v>
      </c>
      <c r="L130" s="96">
        <f t="shared" si="7"/>
        <v>6530</v>
      </c>
      <c r="M130" s="96">
        <f t="shared" si="7"/>
        <v>6280</v>
      </c>
      <c r="N130" s="96">
        <f t="shared" si="7"/>
        <v>6030</v>
      </c>
      <c r="O130" s="96">
        <f t="shared" si="7"/>
        <v>5780</v>
      </c>
      <c r="P130" s="96">
        <f t="shared" ref="P130:Q130" si="8">O130-250</f>
        <v>5530</v>
      </c>
      <c r="Q130" s="96">
        <f t="shared" si="8"/>
        <v>5280</v>
      </c>
      <c r="R130" s="96">
        <v>5000</v>
      </c>
      <c r="S130" s="96"/>
      <c r="T130" s="96"/>
    </row>
    <row r="131" spans="1:20" x14ac:dyDescent="0.15">
      <c r="A131" s="211" t="s">
        <v>12</v>
      </c>
      <c r="B131" s="183">
        <f t="shared" ref="B131:G131" si="9">IF($B79,1062,2123)</f>
        <v>2123</v>
      </c>
      <c r="C131" s="183">
        <f t="shared" si="9"/>
        <v>2123</v>
      </c>
      <c r="D131" s="183">
        <f t="shared" si="9"/>
        <v>2123</v>
      </c>
      <c r="E131" s="183">
        <f t="shared" si="9"/>
        <v>2123</v>
      </c>
      <c r="F131" s="183">
        <f t="shared" si="9"/>
        <v>2123</v>
      </c>
      <c r="G131" s="183">
        <f t="shared" si="9"/>
        <v>2123</v>
      </c>
      <c r="H131" s="183">
        <f>IF(H79,1062,2123)</f>
        <v>2123</v>
      </c>
      <c r="I131" s="183">
        <f>IF(I79,1062,2123)</f>
        <v>2123</v>
      </c>
      <c r="J131" s="183">
        <f>IF(J79,1062,2123)</f>
        <v>2123</v>
      </c>
      <c r="K131" s="96">
        <f>IF(K79,1062,2123)</f>
        <v>2123</v>
      </c>
      <c r="L131" s="200"/>
      <c r="M131" s="200"/>
      <c r="N131" s="200"/>
      <c r="O131" s="200"/>
      <c r="P131"/>
      <c r="Q131"/>
      <c r="R131"/>
      <c r="S131"/>
      <c r="T131"/>
    </row>
    <row r="132" spans="1:20" x14ac:dyDescent="0.15">
      <c r="A132" s="211" t="s">
        <v>124</v>
      </c>
      <c r="B132" s="183"/>
      <c r="C132" s="183"/>
      <c r="D132" s="186"/>
      <c r="E132" s="183"/>
      <c r="F132" s="196"/>
      <c r="G132" s="197"/>
      <c r="H132" s="197"/>
      <c r="I132" s="183"/>
      <c r="J132" s="183"/>
      <c r="K132" s="183"/>
      <c r="L132" s="183"/>
      <c r="M132" s="186"/>
      <c r="N132" s="183"/>
      <c r="O132" s="196"/>
      <c r="P132"/>
      <c r="Q132"/>
      <c r="R132"/>
      <c r="S132"/>
      <c r="T132"/>
    </row>
    <row r="133" spans="1:20" x14ac:dyDescent="0.15">
      <c r="A133" s="212"/>
      <c r="B133" s="183"/>
      <c r="C133" s="183"/>
      <c r="D133" s="186"/>
      <c r="E133" s="183"/>
      <c r="F133" s="196"/>
      <c r="G133" s="197"/>
      <c r="H133" s="197"/>
      <c r="I133" s="183"/>
      <c r="J133" s="183"/>
      <c r="K133" s="183"/>
      <c r="L133" s="183"/>
      <c r="M133" s="186"/>
      <c r="N133" s="183"/>
      <c r="O133" s="196"/>
      <c r="P133"/>
      <c r="Q133"/>
      <c r="R133"/>
      <c r="S133"/>
      <c r="T133"/>
    </row>
    <row r="134" spans="1:20" x14ac:dyDescent="0.15">
      <c r="A134" s="211" t="s">
        <v>14</v>
      </c>
      <c r="B134" s="181">
        <v>2012</v>
      </c>
      <c r="C134" s="181">
        <v>2013</v>
      </c>
      <c r="D134" s="181">
        <v>2014</v>
      </c>
      <c r="E134" s="181">
        <v>2015</v>
      </c>
      <c r="F134" s="181">
        <v>2016</v>
      </c>
      <c r="G134" s="181">
        <v>2017</v>
      </c>
      <c r="H134" s="181">
        <v>2018</v>
      </c>
      <c r="I134" s="181">
        <v>2019</v>
      </c>
      <c r="J134" s="181">
        <v>2020</v>
      </c>
      <c r="K134" s="181">
        <v>2021</v>
      </c>
      <c r="L134" s="181">
        <v>2022</v>
      </c>
      <c r="M134" s="181">
        <v>2023</v>
      </c>
      <c r="N134" s="181">
        <v>2024</v>
      </c>
      <c r="O134" s="181">
        <v>2025</v>
      </c>
      <c r="P134"/>
      <c r="Q134"/>
      <c r="R134"/>
      <c r="S134"/>
      <c r="T134"/>
    </row>
    <row r="135" spans="1:20" x14ac:dyDescent="0.15">
      <c r="A135" s="212"/>
      <c r="B135" s="188">
        <v>0.12</v>
      </c>
      <c r="C135" s="188">
        <v>0.14000000000000001</v>
      </c>
      <c r="D135" s="188">
        <v>0.14000000000000001</v>
      </c>
      <c r="E135" s="188">
        <v>0.14000000000000001</v>
      </c>
      <c r="F135" s="188">
        <v>0.14000000000000001</v>
      </c>
      <c r="G135" s="188">
        <v>0.14000000000000001</v>
      </c>
      <c r="H135" s="188">
        <v>0.14000000000000001</v>
      </c>
      <c r="I135" s="188">
        <v>0.14000000000000001</v>
      </c>
      <c r="J135" s="188">
        <v>0.14000000000000001</v>
      </c>
      <c r="K135" s="207">
        <v>0.14000000000000001</v>
      </c>
      <c r="L135" s="188">
        <v>0.14000000000000001</v>
      </c>
      <c r="M135" s="188">
        <v>0.14000000000000001</v>
      </c>
      <c r="N135" s="188">
        <v>0.14000000000000001</v>
      </c>
      <c r="O135" s="188">
        <v>0.14000000000000001</v>
      </c>
      <c r="P135"/>
      <c r="Q135"/>
      <c r="R135"/>
      <c r="S135"/>
      <c r="T135"/>
    </row>
    <row r="136" spans="1:20" x14ac:dyDescent="0.15">
      <c r="A136" s="212"/>
      <c r="B136" s="183"/>
      <c r="C136" s="183"/>
      <c r="D136" s="183"/>
      <c r="E136" s="183"/>
      <c r="F136" s="183"/>
      <c r="G136" s="202"/>
      <c r="H136" s="202"/>
      <c r="I136" s="183"/>
      <c r="J136" s="183"/>
      <c r="K136" s="183"/>
      <c r="L136" s="183"/>
      <c r="M136" s="183"/>
      <c r="N136" s="183"/>
      <c r="O136" s="183"/>
      <c r="P136"/>
      <c r="Q136"/>
      <c r="R136"/>
      <c r="S136"/>
      <c r="T136"/>
    </row>
    <row r="137" spans="1:20" x14ac:dyDescent="0.15">
      <c r="A137" s="211" t="s">
        <v>8</v>
      </c>
      <c r="B137" s="181">
        <v>2012</v>
      </c>
      <c r="C137" s="181">
        <v>2013</v>
      </c>
      <c r="D137" s="181">
        <v>2014</v>
      </c>
      <c r="E137" s="181">
        <v>2015</v>
      </c>
      <c r="F137" s="181">
        <v>2016</v>
      </c>
      <c r="G137" s="181">
        <v>2017</v>
      </c>
      <c r="H137" s="181">
        <v>2018</v>
      </c>
      <c r="I137" s="181">
        <v>2019</v>
      </c>
      <c r="J137" s="181">
        <v>2020</v>
      </c>
      <c r="K137" s="181">
        <v>2021</v>
      </c>
      <c r="L137" s="181">
        <v>2022</v>
      </c>
      <c r="M137" s="181">
        <v>2023</v>
      </c>
      <c r="N137" s="181">
        <v>2024</v>
      </c>
      <c r="O137" s="181">
        <v>2025</v>
      </c>
      <c r="P137"/>
      <c r="Q137"/>
      <c r="R137"/>
      <c r="S137"/>
      <c r="T137"/>
    </row>
    <row r="138" spans="1:20" x14ac:dyDescent="0.15">
      <c r="A138" s="212" t="s">
        <v>125</v>
      </c>
      <c r="B138" s="208">
        <v>1040000</v>
      </c>
      <c r="C138" s="208">
        <v>1040000</v>
      </c>
      <c r="D138" s="208">
        <v>1040000</v>
      </c>
      <c r="E138" s="208">
        <v>1050000</v>
      </c>
      <c r="F138" s="208">
        <v>1050000</v>
      </c>
      <c r="G138" s="208">
        <v>1060000</v>
      </c>
      <c r="H138" s="208">
        <v>1060000</v>
      </c>
      <c r="I138" s="208">
        <v>1080000</v>
      </c>
      <c r="J138" s="208">
        <v>1090000</v>
      </c>
      <c r="K138" s="209">
        <f t="shared" ref="K138:O138" si="10">J138</f>
        <v>1090000</v>
      </c>
      <c r="L138" s="209">
        <f t="shared" si="10"/>
        <v>1090000</v>
      </c>
      <c r="M138" s="209">
        <f t="shared" si="10"/>
        <v>1090000</v>
      </c>
      <c r="N138" s="209">
        <f t="shared" si="10"/>
        <v>1090000</v>
      </c>
      <c r="O138" s="209">
        <f t="shared" si="10"/>
        <v>1090000</v>
      </c>
      <c r="P138"/>
      <c r="Q138"/>
      <c r="R138"/>
      <c r="S138"/>
      <c r="T138"/>
    </row>
    <row r="139" spans="1:20" x14ac:dyDescent="0.15">
      <c r="A139" s="212">
        <v>12500</v>
      </c>
      <c r="B139" s="186">
        <v>2E-3</v>
      </c>
      <c r="C139" s="186">
        <v>2E-3</v>
      </c>
      <c r="D139" s="186">
        <v>2.5000000000000001E-3</v>
      </c>
      <c r="E139" s="186">
        <v>3.0000000000000001E-3</v>
      </c>
      <c r="F139" s="186">
        <v>3.0000000000000001E-3</v>
      </c>
      <c r="G139" s="186">
        <v>3.0000000000000001E-3</v>
      </c>
      <c r="H139" s="186">
        <v>2.5000000000000001E-3</v>
      </c>
      <c r="I139" s="186">
        <v>2.5000000000000001E-3</v>
      </c>
      <c r="J139" s="186">
        <v>2E-3</v>
      </c>
      <c r="K139" s="186">
        <v>2E-3</v>
      </c>
      <c r="L139" s="186">
        <v>2E-3</v>
      </c>
      <c r="M139" s="186">
        <v>1.5E-3</v>
      </c>
      <c r="N139" s="183"/>
      <c r="O139" s="183"/>
      <c r="P139"/>
      <c r="Q139"/>
      <c r="R139"/>
      <c r="S139"/>
      <c r="T139"/>
    </row>
    <row r="140" spans="1:20" x14ac:dyDescent="0.15">
      <c r="A140" s="212">
        <v>25000</v>
      </c>
      <c r="B140" s="210">
        <v>3.5000000000000001E-3</v>
      </c>
      <c r="C140" s="210">
        <v>3.5000000000000001E-3</v>
      </c>
      <c r="D140" s="210">
        <v>4.0000000000000001E-3</v>
      </c>
      <c r="E140" s="210">
        <v>4.4999999999999997E-3</v>
      </c>
      <c r="F140" s="210">
        <v>4.4999999999999997E-3</v>
      </c>
      <c r="G140" s="210">
        <v>4.4999999999999997E-3</v>
      </c>
      <c r="H140" s="210">
        <v>4.0000000000000001E-3</v>
      </c>
      <c r="I140" s="176">
        <v>3.5000000000000001E-3</v>
      </c>
      <c r="J140" s="176">
        <v>3.5000000000000001E-3</v>
      </c>
      <c r="K140" s="176">
        <v>3.0000000000000001E-3</v>
      </c>
      <c r="L140" s="176">
        <v>3.0000000000000001E-3</v>
      </c>
      <c r="M140" s="176">
        <v>2.5000000000000001E-3</v>
      </c>
      <c r="N140" s="203"/>
      <c r="O140" s="203"/>
      <c r="P140"/>
      <c r="Q140"/>
      <c r="R140"/>
      <c r="S140"/>
      <c r="T140"/>
    </row>
    <row r="141" spans="1:20" x14ac:dyDescent="0.15">
      <c r="A141" s="212">
        <v>50000</v>
      </c>
      <c r="B141" s="186">
        <v>4.4999999999999997E-3</v>
      </c>
      <c r="C141" s="186">
        <v>4.4999999999999997E-3</v>
      </c>
      <c r="D141" s="186">
        <v>5.4999999999999997E-3</v>
      </c>
      <c r="E141" s="186">
        <v>6.0000000000000001E-3</v>
      </c>
      <c r="F141" s="186">
        <v>6.0000000000000001E-3</v>
      </c>
      <c r="G141" s="186">
        <v>6.0000000000000001E-3</v>
      </c>
      <c r="H141" s="186">
        <v>5.4999999999999997E-3</v>
      </c>
      <c r="I141" s="176">
        <v>5.0000000000000001E-3</v>
      </c>
      <c r="J141" s="176">
        <v>4.4999999999999997E-3</v>
      </c>
      <c r="K141" s="176">
        <v>4.0000000000000001E-3</v>
      </c>
      <c r="L141" s="176">
        <v>4.0000000000000001E-3</v>
      </c>
      <c r="M141" s="176">
        <v>3.5000000000000001E-3</v>
      </c>
      <c r="N141" s="183"/>
      <c r="O141" s="196"/>
      <c r="P141"/>
      <c r="Q141"/>
      <c r="R141"/>
      <c r="S141"/>
      <c r="T141"/>
    </row>
    <row r="142" spans="1:20" x14ac:dyDescent="0.15">
      <c r="A142" s="212">
        <v>75000</v>
      </c>
      <c r="B142" s="186">
        <v>6.0000000000000001E-3</v>
      </c>
      <c r="C142" s="186">
        <v>6.0000000000000001E-3</v>
      </c>
      <c r="D142" s="186">
        <v>7.0000000000000001E-3</v>
      </c>
      <c r="E142" s="186">
        <v>7.4999999999999997E-3</v>
      </c>
      <c r="F142" s="186">
        <v>7.4999999999999997E-3</v>
      </c>
      <c r="G142" s="186">
        <v>7.4999999999999997E-3</v>
      </c>
      <c r="H142" s="186">
        <v>7.0000000000000001E-3</v>
      </c>
      <c r="I142" s="176">
        <v>6.4999999999999997E-3</v>
      </c>
      <c r="J142" s="176">
        <v>6.0000000000000001E-3</v>
      </c>
      <c r="K142" s="176">
        <v>5.0000000000000001E-3</v>
      </c>
      <c r="L142" s="176">
        <v>5.0000000000000001E-3</v>
      </c>
      <c r="M142" s="176">
        <v>4.4999999999999997E-3</v>
      </c>
      <c r="N142" s="183"/>
      <c r="O142" s="196"/>
      <c r="P142"/>
      <c r="Q142"/>
      <c r="R142"/>
      <c r="S142"/>
      <c r="T142"/>
    </row>
    <row r="143" spans="1:20" x14ac:dyDescent="0.15">
      <c r="A143" s="212">
        <f>LOOKUP(A1,B137:O137,B138:O138)</f>
        <v>1090000</v>
      </c>
      <c r="B143" s="186">
        <v>1.2999999999999999E-2</v>
      </c>
      <c r="C143" s="186">
        <v>1.55E-2</v>
      </c>
      <c r="D143" s="186">
        <v>1.7999999999999999E-2</v>
      </c>
      <c r="E143" s="186">
        <v>2.0500000000000001E-2</v>
      </c>
      <c r="F143" s="186">
        <v>2.35E-2</v>
      </c>
      <c r="G143" s="186">
        <v>2.35E-2</v>
      </c>
      <c r="H143" s="186">
        <v>2.35E-2</v>
      </c>
      <c r="I143" s="176">
        <v>2.35E-2</v>
      </c>
      <c r="J143" s="176">
        <v>2.35E-2</v>
      </c>
      <c r="K143" s="176">
        <v>2.35E-2</v>
      </c>
      <c r="L143" s="176">
        <v>2.35E-2</v>
      </c>
      <c r="M143" s="176">
        <v>2.35E-2</v>
      </c>
      <c r="N143" s="183"/>
      <c r="O143" s="196"/>
      <c r="P143"/>
      <c r="Q143"/>
      <c r="R143"/>
      <c r="S143"/>
      <c r="T143"/>
    </row>
    <row r="144" spans="1:20" x14ac:dyDescent="0.15">
      <c r="A144" s="212" t="s">
        <v>129</v>
      </c>
      <c r="B144" s="188">
        <v>1</v>
      </c>
      <c r="C144" s="188">
        <v>1</v>
      </c>
      <c r="D144" s="188">
        <v>1</v>
      </c>
      <c r="E144" s="188">
        <v>1</v>
      </c>
      <c r="F144" s="188">
        <v>1</v>
      </c>
      <c r="G144" s="188">
        <v>1</v>
      </c>
      <c r="H144" s="188">
        <v>1</v>
      </c>
      <c r="I144" s="186">
        <f>H144-(1/30)</f>
        <v>0.96666666666666667</v>
      </c>
      <c r="J144" s="186">
        <f t="shared" ref="J144:O144" si="11">I144-(1/30)</f>
        <v>0.93333333333333335</v>
      </c>
      <c r="K144" s="186">
        <f t="shared" si="11"/>
        <v>0.9</v>
      </c>
      <c r="L144" s="186">
        <f t="shared" si="11"/>
        <v>0.8666666666666667</v>
      </c>
      <c r="M144" s="186">
        <f t="shared" si="11"/>
        <v>0.83333333333333337</v>
      </c>
      <c r="N144" s="186">
        <f t="shared" si="11"/>
        <v>0.8</v>
      </c>
      <c r="O144" s="186">
        <f t="shared" si="11"/>
        <v>0.76666666666666672</v>
      </c>
    </row>
    <row r="145" spans="8:8" x14ac:dyDescent="0.15">
      <c r="H145" s="117"/>
    </row>
    <row r="146" spans="8:8" x14ac:dyDescent="0.15">
      <c r="H146" s="97"/>
    </row>
    <row r="147" spans="8:8" x14ac:dyDescent="0.15">
      <c r="H147" s="77"/>
    </row>
    <row r="148" spans="8:8" x14ac:dyDescent="0.15">
      <c r="H148" s="77"/>
    </row>
    <row r="149" spans="8:8" x14ac:dyDescent="0.15">
      <c r="H149" s="171"/>
    </row>
    <row r="150" spans="8:8" x14ac:dyDescent="0.15">
      <c r="H150" s="172"/>
    </row>
    <row r="151" spans="8:8" x14ac:dyDescent="0.15">
      <c r="H151" s="173"/>
    </row>
    <row r="152" spans="8:8" x14ac:dyDescent="0.15">
      <c r="H152" s="97"/>
    </row>
    <row r="153" spans="8:8" x14ac:dyDescent="0.15">
      <c r="H153" s="97"/>
    </row>
    <row r="154" spans="8:8" x14ac:dyDescent="0.15">
      <c r="H154" s="97"/>
    </row>
  </sheetData>
  <sheetProtection algorithmName="SHA-512" hashValue="XTLl4yLFAQ/i+bIj2nxQuKH7VS8PrkgQHHofSoBEXJjdpGoeDS4GYEWj/YDS3Z3/8gd4chOkZ9PIB5tGGTjhdA==" saltValue="PQZRW2x+nHwXtGkQse6gu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T144"/>
  <sheetViews>
    <sheetView showGridLines="0" showRowColHeaders="0" topLeftCell="A64" workbookViewId="0">
      <selection activeCell="A72" sqref="A72:O144"/>
    </sheetView>
  </sheetViews>
  <sheetFormatPr defaultColWidth="0.140625" defaultRowHeight="11.25" x14ac:dyDescent="0.15"/>
  <cols>
    <col min="1" max="1" width="33.42578125" style="127" bestFit="1" customWidth="1"/>
    <col min="2" max="2" width="16.140625" style="127" bestFit="1" customWidth="1"/>
    <col min="3" max="3" width="10.140625" style="127" bestFit="1" customWidth="1"/>
    <col min="4" max="4" width="19" style="127" bestFit="1" customWidth="1"/>
    <col min="5" max="6" width="10.7109375" style="127" bestFit="1" customWidth="1"/>
    <col min="7" max="11" width="10.140625" style="127" bestFit="1" customWidth="1"/>
    <col min="12" max="15" width="5.5703125" style="127" bestFit="1" customWidth="1"/>
    <col min="16" max="16384" width="0.140625" style="127"/>
  </cols>
  <sheetData>
    <row r="1" spans="1:15" ht="15" x14ac:dyDescent="0.15">
      <c r="A1" s="73">
        <f>'1'!E2</f>
        <v>2020</v>
      </c>
      <c r="B1" s="74" t="s">
        <v>69</v>
      </c>
      <c r="C1" s="74"/>
      <c r="D1" s="75">
        <f ca="1">D12-D24-D32-D35</f>
        <v>0</v>
      </c>
      <c r="E1" s="74"/>
      <c r="F1" s="76"/>
      <c r="G1" s="77"/>
      <c r="H1" s="74"/>
      <c r="I1" s="78"/>
      <c r="J1" s="74"/>
      <c r="K1" s="74"/>
      <c r="L1" s="74"/>
      <c r="M1" s="74"/>
      <c r="N1" s="74"/>
      <c r="O1" s="74"/>
    </row>
    <row r="2" spans="1:15" ht="15" x14ac:dyDescent="0.15">
      <c r="A2" s="130">
        <f>'1'!E34</f>
        <v>0</v>
      </c>
      <c r="B2" s="74" t="s">
        <v>128</v>
      </c>
      <c r="C2" s="74"/>
      <c r="D2" s="75"/>
      <c r="E2" s="74"/>
      <c r="F2" s="77"/>
      <c r="G2" s="77"/>
      <c r="H2" s="74"/>
      <c r="I2" s="78"/>
      <c r="J2" s="74"/>
      <c r="K2" s="74"/>
      <c r="L2" s="74"/>
      <c r="M2" s="74"/>
      <c r="N2" s="74"/>
      <c r="O2" s="74"/>
    </row>
    <row r="3" spans="1:15" x14ac:dyDescent="0.15">
      <c r="A3" s="125">
        <f>'1'!E47</f>
        <v>0</v>
      </c>
      <c r="B3" s="74" t="s">
        <v>65</v>
      </c>
      <c r="C3" s="74"/>
      <c r="D3" s="74"/>
      <c r="E3" s="74"/>
      <c r="F3" s="79"/>
      <c r="G3" s="74"/>
      <c r="H3" s="74"/>
      <c r="I3" s="74"/>
      <c r="J3" s="74"/>
      <c r="K3" s="74"/>
      <c r="L3" s="74"/>
      <c r="M3" s="74"/>
      <c r="N3" s="74"/>
      <c r="O3" s="74"/>
    </row>
    <row r="4" spans="1:15" x14ac:dyDescent="0.15">
      <c r="A4" s="80">
        <f>'1'!E27</f>
        <v>36526</v>
      </c>
      <c r="B4" s="74" t="s">
        <v>70</v>
      </c>
      <c r="C4" s="74"/>
      <c r="D4" s="74"/>
      <c r="E4" s="74"/>
      <c r="F4" s="81"/>
      <c r="G4" s="74"/>
      <c r="H4" s="74"/>
      <c r="I4" s="74"/>
      <c r="J4" s="74"/>
      <c r="K4" s="74"/>
      <c r="L4" s="74"/>
      <c r="M4" s="74"/>
      <c r="N4" s="74"/>
      <c r="O4" s="74"/>
    </row>
    <row r="5" spans="1:15" x14ac:dyDescent="0.15">
      <c r="A5" s="82"/>
      <c r="B5" s="74"/>
      <c r="C5" s="74"/>
      <c r="D5" s="74"/>
      <c r="E5" s="74"/>
      <c r="F5" s="76"/>
      <c r="G5" s="77"/>
      <c r="H5" s="74"/>
      <c r="I5" s="74"/>
      <c r="J5" s="74"/>
      <c r="K5" s="74"/>
      <c r="L5" s="74"/>
      <c r="M5" s="74"/>
      <c r="N5" s="74"/>
      <c r="O5" s="74"/>
    </row>
    <row r="6" spans="1:15" x14ac:dyDescent="0.15">
      <c r="A6" s="83" t="s">
        <v>71</v>
      </c>
      <c r="B6" s="74"/>
      <c r="C6" s="74"/>
      <c r="D6" s="74"/>
      <c r="E6" s="74"/>
      <c r="F6" s="76"/>
      <c r="G6" s="77"/>
      <c r="H6" s="74"/>
      <c r="I6" s="74"/>
      <c r="J6" s="74"/>
      <c r="K6" s="74"/>
      <c r="L6" s="74"/>
      <c r="M6" s="74"/>
      <c r="N6" s="74"/>
      <c r="O6" s="74"/>
    </row>
    <row r="7" spans="1:15" x14ac:dyDescent="0.15">
      <c r="A7" s="84" t="s">
        <v>72</v>
      </c>
      <c r="B7" s="85" t="s">
        <v>73</v>
      </c>
      <c r="C7" s="85" t="s">
        <v>74</v>
      </c>
      <c r="D7" s="86" t="s">
        <v>75</v>
      </c>
      <c r="E7" s="74"/>
      <c r="F7" s="87"/>
      <c r="G7" s="85"/>
      <c r="H7" s="85"/>
      <c r="I7" s="86"/>
      <c r="J7" s="74"/>
      <c r="K7" s="74"/>
      <c r="L7" s="74"/>
      <c r="M7" s="74"/>
      <c r="N7" s="74"/>
      <c r="O7" s="74"/>
    </row>
    <row r="8" spans="1:15" x14ac:dyDescent="0.15">
      <c r="A8" s="88" t="s">
        <v>76</v>
      </c>
      <c r="B8" s="89">
        <f>LOOKUP($A$1,$B$73:$O$73,B74:O74)</f>
        <v>20711</v>
      </c>
      <c r="C8" s="90">
        <f ca="1">LOOKUP($A$1,$B$73:$O$73,B80:G80)</f>
        <v>0.3735</v>
      </c>
      <c r="D8" s="91">
        <f ca="1">IF($A$3&gt;$B8,$B8*$C8,$A$3*$C8)</f>
        <v>0</v>
      </c>
      <c r="E8" s="74"/>
      <c r="F8" s="92"/>
      <c r="G8" s="89"/>
      <c r="H8" s="90"/>
      <c r="I8" s="91"/>
      <c r="J8" s="74"/>
      <c r="K8" s="74"/>
      <c r="L8" s="74"/>
      <c r="M8" s="74"/>
      <c r="N8" s="74"/>
      <c r="O8" s="74"/>
    </row>
    <row r="9" spans="1:15" x14ac:dyDescent="0.15">
      <c r="A9" s="88" t="s">
        <v>77</v>
      </c>
      <c r="B9" s="89">
        <f>LOOKUP($A$1,$B$73:$O$73,B75:O75)</f>
        <v>34712</v>
      </c>
      <c r="C9" s="90">
        <f ca="1">LOOKUP($A$1,$B$73:$O$73,B81:G81)</f>
        <v>0.3735</v>
      </c>
      <c r="D9" s="91">
        <f ca="1">MAX(IF($A$3&gt;$B9,($B9-$B8)*$C9,($A$3-$B8)*$C9),0)</f>
        <v>0</v>
      </c>
      <c r="E9" s="74"/>
      <c r="F9" s="92"/>
      <c r="G9" s="89"/>
      <c r="H9" s="90"/>
      <c r="I9" s="91"/>
      <c r="J9" s="74"/>
      <c r="K9" s="74"/>
      <c r="L9" s="74"/>
      <c r="M9" s="74"/>
      <c r="N9" s="74"/>
      <c r="O9" s="74"/>
    </row>
    <row r="10" spans="1:15" x14ac:dyDescent="0.15">
      <c r="A10" s="88" t="s">
        <v>78</v>
      </c>
      <c r="B10" s="89">
        <f>LOOKUP($A$1,$B$73:$O$73,B76:O76)</f>
        <v>68507</v>
      </c>
      <c r="C10" s="90">
        <f ca="1">LOOKUP($A$1,$B$73:$O$73,B82:G82)</f>
        <v>0.3735</v>
      </c>
      <c r="D10" s="91">
        <f ca="1">MAX(IF($A$3&gt;$B10,($B10-$B9)*$C10,($A$3-$B9)*$C10),0)</f>
        <v>0</v>
      </c>
      <c r="E10" s="74"/>
      <c r="F10" s="92"/>
      <c r="G10" s="89"/>
      <c r="H10" s="90"/>
      <c r="I10" s="91"/>
      <c r="J10" s="74"/>
      <c r="K10" s="74"/>
      <c r="L10" s="74"/>
      <c r="M10" s="74"/>
      <c r="N10" s="74"/>
      <c r="O10" s="74"/>
    </row>
    <row r="11" spans="1:15" x14ac:dyDescent="0.15">
      <c r="A11" s="88" t="s">
        <v>79</v>
      </c>
      <c r="B11" s="93">
        <v>1E+100</v>
      </c>
      <c r="C11" s="90">
        <f ca="1">LOOKUP($A$1,$B$73:$O$73,B83:G83)</f>
        <v>0.495</v>
      </c>
      <c r="D11" s="91">
        <f ca="1">MAX(IF($A$3&gt;$B11,($B11-$B10)*$C11,($A$3-$B10)*$C11),0)</f>
        <v>0</v>
      </c>
      <c r="E11" s="74"/>
      <c r="F11" s="92"/>
      <c r="G11" s="93"/>
      <c r="H11" s="90"/>
      <c r="I11" s="91"/>
      <c r="J11" s="74"/>
      <c r="K11" s="74"/>
      <c r="L11" s="74"/>
      <c r="M11" s="74"/>
      <c r="N11" s="74"/>
      <c r="O11" s="74"/>
    </row>
    <row r="12" spans="1:15" ht="15" x14ac:dyDescent="0.15">
      <c r="A12" s="88"/>
      <c r="B12" s="89"/>
      <c r="C12" s="89"/>
      <c r="D12" s="94">
        <f ca="1">ROUNDDOWN(SUM(D8:D11),0)</f>
        <v>0</v>
      </c>
      <c r="E12" s="74"/>
      <c r="F12" s="92"/>
      <c r="G12" s="89"/>
      <c r="H12" s="89"/>
      <c r="I12" s="95"/>
      <c r="J12" s="74"/>
      <c r="K12" s="74"/>
      <c r="L12" s="74"/>
      <c r="M12" s="74"/>
      <c r="N12" s="74"/>
      <c r="O12" s="74"/>
    </row>
    <row r="13" spans="1:15" ht="15" x14ac:dyDescent="0.15">
      <c r="A13" s="88"/>
      <c r="B13" s="89"/>
      <c r="C13" s="89"/>
      <c r="D13" s="95"/>
      <c r="E13" s="74"/>
      <c r="F13" s="88"/>
      <c r="G13" s="89"/>
      <c r="H13" s="89"/>
      <c r="I13" s="95"/>
      <c r="J13" s="74"/>
      <c r="K13" s="74"/>
      <c r="L13" s="74"/>
      <c r="M13" s="74"/>
      <c r="N13" s="74"/>
      <c r="O13" s="74"/>
    </row>
    <row r="14" spans="1:15" ht="15" x14ac:dyDescent="0.15">
      <c r="A14" s="84" t="s">
        <v>80</v>
      </c>
      <c r="B14" s="96">
        <v>250001</v>
      </c>
      <c r="C14" s="74"/>
      <c r="D14" s="129">
        <f>ROUNDDOWN(SUM(D15:D16),0)</f>
        <v>65625</v>
      </c>
      <c r="E14" s="74"/>
      <c r="F14" s="88"/>
      <c r="G14" s="89"/>
      <c r="H14" s="89"/>
      <c r="I14" s="95"/>
      <c r="J14" s="74"/>
      <c r="K14" s="74"/>
      <c r="L14" s="74"/>
      <c r="M14" s="74"/>
      <c r="N14" s="74"/>
      <c r="O14" s="74"/>
    </row>
    <row r="15" spans="1:15" ht="15" x14ac:dyDescent="0.15">
      <c r="A15" s="84"/>
      <c r="B15" s="74">
        <v>250000</v>
      </c>
      <c r="C15" s="121">
        <f>LOOKUP(A1,B73:O73,B85:O85)</f>
        <v>0.26250000000000001</v>
      </c>
      <c r="D15" s="74">
        <f>IF(B14&gt;B15,B15*C15,B14*C15)</f>
        <v>65625</v>
      </c>
      <c r="E15" s="74"/>
      <c r="F15" s="88"/>
      <c r="G15" s="89"/>
      <c r="H15" s="89"/>
      <c r="I15" s="95"/>
      <c r="J15" s="74"/>
      <c r="K15" s="74"/>
      <c r="L15" s="74"/>
      <c r="M15" s="74"/>
      <c r="N15" s="74"/>
      <c r="O15" s="74"/>
    </row>
    <row r="16" spans="1:15" ht="15" x14ac:dyDescent="0.15">
      <c r="A16" s="74"/>
      <c r="B16" s="89"/>
      <c r="C16" s="97">
        <v>0.25</v>
      </c>
      <c r="D16" s="74">
        <f>IF(B14&gt;B15,(B14-B15)*C16,0)</f>
        <v>0.25</v>
      </c>
      <c r="E16" s="74"/>
      <c r="F16" s="88"/>
      <c r="G16" s="89"/>
      <c r="H16" s="89"/>
      <c r="I16" s="95"/>
      <c r="J16" s="74"/>
      <c r="K16" s="74"/>
      <c r="L16" s="74"/>
      <c r="M16" s="74"/>
      <c r="N16" s="74"/>
      <c r="O16" s="74"/>
    </row>
    <row r="17" spans="1:15" ht="15" x14ac:dyDescent="0.15">
      <c r="A17" s="88"/>
      <c r="B17" s="89"/>
      <c r="C17" s="89"/>
      <c r="D17" s="95"/>
      <c r="E17" s="74"/>
      <c r="F17" s="88"/>
      <c r="G17" s="89"/>
      <c r="H17" s="89"/>
      <c r="I17" s="95"/>
      <c r="J17" s="74"/>
      <c r="K17" s="74"/>
      <c r="L17" s="74"/>
      <c r="M17" s="74"/>
      <c r="N17" s="74"/>
      <c r="O17" s="74"/>
    </row>
    <row r="18" spans="1:15" ht="15" x14ac:dyDescent="0.15">
      <c r="A18" s="84" t="s">
        <v>10</v>
      </c>
      <c r="B18" s="89"/>
      <c r="C18" s="89"/>
      <c r="D18" s="95"/>
      <c r="E18" s="74"/>
      <c r="F18" s="88"/>
      <c r="G18" s="89"/>
      <c r="H18" s="89"/>
      <c r="I18" s="95"/>
      <c r="J18" s="74"/>
      <c r="K18" s="74"/>
      <c r="L18" s="74"/>
      <c r="M18" s="74"/>
      <c r="N18" s="74"/>
      <c r="O18" s="74"/>
    </row>
    <row r="19" spans="1:15" ht="15" x14ac:dyDescent="0.15">
      <c r="A19" s="126">
        <f>'1'!E125</f>
        <v>0</v>
      </c>
      <c r="B19" s="89">
        <f>LOOKUP(A1,B87:O87,B88:O88)</f>
        <v>200000</v>
      </c>
      <c r="C19" s="97">
        <f>LOOKUP(A1,B87:O87,B89:O89)</f>
        <v>0.16500000000000001</v>
      </c>
      <c r="D19" s="94">
        <f>IF(A19&lt;B19,A19*C19,(B19*C19)+((A19-B19)*C20))</f>
        <v>0</v>
      </c>
      <c r="E19" s="74"/>
      <c r="F19" s="88"/>
      <c r="G19" s="89"/>
      <c r="H19" s="89"/>
      <c r="I19" s="95"/>
      <c r="J19" s="74"/>
      <c r="K19" s="74"/>
      <c r="L19" s="74"/>
      <c r="M19" s="74"/>
      <c r="N19" s="74"/>
      <c r="O19" s="74"/>
    </row>
    <row r="20" spans="1:15" ht="15" x14ac:dyDescent="0.15">
      <c r="A20" s="88"/>
      <c r="B20" s="89"/>
      <c r="C20" s="97">
        <f>LOOKUP(A1,B87:O87,B90:O90)</f>
        <v>0.25</v>
      </c>
      <c r="D20" s="95"/>
      <c r="E20" s="74"/>
      <c r="F20" s="88"/>
      <c r="G20" s="89"/>
      <c r="H20" s="89"/>
      <c r="I20" s="95"/>
      <c r="J20" s="74"/>
      <c r="K20" s="74"/>
      <c r="L20" s="74"/>
      <c r="M20" s="74"/>
      <c r="N20" s="74"/>
      <c r="O20" s="74"/>
    </row>
    <row r="21" spans="1:15" x14ac:dyDescent="0.15">
      <c r="A21" s="83" t="s">
        <v>81</v>
      </c>
      <c r="B21" s="74"/>
      <c r="C21" s="74"/>
      <c r="D21" s="74"/>
      <c r="E21" s="74"/>
      <c r="F21" s="82"/>
      <c r="G21" s="77"/>
      <c r="H21" s="74"/>
      <c r="I21" s="74"/>
      <c r="J21" s="74"/>
      <c r="K21" s="74"/>
      <c r="L21" s="74"/>
      <c r="M21" s="74"/>
      <c r="N21" s="74"/>
      <c r="O21" s="74"/>
    </row>
    <row r="22" spans="1:15" x14ac:dyDescent="0.15">
      <c r="A22" s="84" t="s">
        <v>82</v>
      </c>
      <c r="B22" s="85">
        <f>LOOKUP(A1,B73:O73,B92:O92)</f>
        <v>2711</v>
      </c>
      <c r="C22" s="85"/>
      <c r="D22" s="86"/>
      <c r="E22" s="74"/>
      <c r="F22" s="84"/>
      <c r="G22" s="85"/>
      <c r="H22" s="85"/>
      <c r="I22" s="86"/>
      <c r="J22" s="74"/>
      <c r="K22" s="74"/>
      <c r="L22" s="74"/>
      <c r="M22" s="74"/>
      <c r="N22" s="74"/>
      <c r="O22" s="74"/>
    </row>
    <row r="23" spans="1:15" x14ac:dyDescent="0.15">
      <c r="A23" s="88" t="s">
        <v>83</v>
      </c>
      <c r="B23" s="89">
        <f>LOOKUP(A1,B73:O73,B94:O94)</f>
        <v>0</v>
      </c>
      <c r="C23" s="89"/>
      <c r="D23" s="91"/>
      <c r="E23" s="74"/>
      <c r="F23" s="88"/>
      <c r="G23" s="89"/>
      <c r="H23" s="89"/>
      <c r="I23" s="91"/>
      <c r="J23" s="74"/>
      <c r="K23" s="74"/>
      <c r="L23" s="74"/>
      <c r="M23" s="74"/>
      <c r="N23" s="74"/>
      <c r="O23" s="74"/>
    </row>
    <row r="24" spans="1:15" ht="15" x14ac:dyDescent="0.15">
      <c r="A24" s="88" t="s">
        <v>84</v>
      </c>
      <c r="B24" s="89">
        <f>LOOKUP($A$1,$B$73:$O$73,B74:O74)</f>
        <v>20711</v>
      </c>
      <c r="C24" s="89">
        <f>LOOKUP($A$1,$B$73:$O$73,B93:O93)</f>
        <v>5.672E-2</v>
      </c>
      <c r="D24" s="94">
        <f ca="1">MIN(MAX(IF(A3&gt;B24,B22-((A3-B24)*C24),B22),B23),D12)</f>
        <v>0</v>
      </c>
      <c r="E24" s="74"/>
      <c r="F24" s="88"/>
      <c r="G24" s="89"/>
      <c r="H24" s="89"/>
      <c r="I24" s="95"/>
      <c r="J24" s="74"/>
      <c r="K24" s="74"/>
      <c r="L24" s="74"/>
      <c r="M24" s="74"/>
      <c r="N24" s="74"/>
      <c r="O24" s="74"/>
    </row>
    <row r="25" spans="1:15" x14ac:dyDescent="0.15">
      <c r="A25" s="88"/>
      <c r="B25" s="89"/>
      <c r="C25" s="89"/>
      <c r="D25" s="98"/>
      <c r="E25" s="89"/>
      <c r="F25" s="99"/>
      <c r="G25" s="91"/>
      <c r="H25" s="91"/>
      <c r="I25" s="74"/>
      <c r="J25" s="89"/>
      <c r="K25" s="89"/>
      <c r="L25" s="89"/>
      <c r="M25" s="98"/>
      <c r="N25" s="89"/>
      <c r="O25" s="100"/>
    </row>
    <row r="26" spans="1:15" x14ac:dyDescent="0.15">
      <c r="A26" s="88"/>
      <c r="B26" s="89"/>
      <c r="C26" s="89"/>
      <c r="D26" s="98"/>
      <c r="E26" s="89"/>
      <c r="F26" s="99"/>
      <c r="G26" s="91"/>
      <c r="H26" s="91"/>
      <c r="I26" s="74"/>
      <c r="J26" s="89"/>
      <c r="K26" s="89"/>
      <c r="L26" s="89"/>
      <c r="M26" s="98"/>
      <c r="N26" s="89"/>
      <c r="O26" s="100"/>
    </row>
    <row r="27" spans="1:15" x14ac:dyDescent="0.15">
      <c r="A27" s="84" t="s">
        <v>85</v>
      </c>
      <c r="B27" s="91">
        <f>A3</f>
        <v>0</v>
      </c>
      <c r="C27" s="89"/>
      <c r="D27" s="89"/>
      <c r="E27" s="89"/>
      <c r="F27" s="92"/>
      <c r="G27" s="89"/>
      <c r="H27" s="89"/>
      <c r="I27" s="89"/>
      <c r="J27" s="74"/>
      <c r="K27" s="89"/>
      <c r="L27" s="89"/>
      <c r="M27" s="89"/>
      <c r="N27" s="89"/>
      <c r="O27" s="89"/>
    </row>
    <row r="28" spans="1:15" x14ac:dyDescent="0.15">
      <c r="A28" s="88" t="s">
        <v>76</v>
      </c>
      <c r="B28" s="74">
        <f>LOOKUP($A$1,$B$96:$O$96,B97:O97)</f>
        <v>9921</v>
      </c>
      <c r="C28" s="74">
        <f>LOOKUP($A$1,$B$96:$O$96,B102:O102)</f>
        <v>2.8119999999999999E-2</v>
      </c>
      <c r="D28" s="91">
        <f>IF(B27&gt;$B28,$B28*$C28,B27*$C28)</f>
        <v>0</v>
      </c>
      <c r="E28" s="74"/>
      <c r="F28" s="92"/>
      <c r="G28" s="74"/>
      <c r="H28" s="74"/>
      <c r="I28" s="91"/>
      <c r="J28" s="74"/>
      <c r="K28" s="74"/>
      <c r="L28" s="74"/>
      <c r="M28" s="74"/>
      <c r="N28" s="74"/>
      <c r="O28" s="74"/>
    </row>
    <row r="29" spans="1:15" x14ac:dyDescent="0.15">
      <c r="A29" s="88" t="s">
        <v>77</v>
      </c>
      <c r="B29" s="74">
        <f>LOOKUP($A$1,$B$96:$O$96,B98:O98)</f>
        <v>21430</v>
      </c>
      <c r="C29" s="74">
        <f>LOOKUP($A$1,$B$96:$O$96,B103:O103)</f>
        <v>0.28811999999999999</v>
      </c>
      <c r="D29" s="91">
        <f>MAX(IF(B27&gt;$B29,($B29-$B28)*$C29,(B27-$B28)*$C29),0)</f>
        <v>0</v>
      </c>
      <c r="E29" s="85"/>
      <c r="F29" s="92"/>
      <c r="G29" s="74"/>
      <c r="H29" s="74"/>
      <c r="I29" s="91"/>
      <c r="J29" s="74"/>
      <c r="K29" s="85"/>
      <c r="L29" s="85"/>
      <c r="M29" s="85"/>
      <c r="N29" s="85"/>
      <c r="O29" s="85"/>
    </row>
    <row r="30" spans="1:15" x14ac:dyDescent="0.15">
      <c r="A30" s="88" t="s">
        <v>78</v>
      </c>
      <c r="B30" s="74">
        <f>LOOKUP($A$1,$B$96:$O$96,B99:O99)</f>
        <v>34954</v>
      </c>
      <c r="C30" s="74">
        <f>LOOKUP($A$1,$B$96:$O$96,B104:O104)</f>
        <v>1.6559999999999998E-2</v>
      </c>
      <c r="D30" s="91">
        <f>MAX(IF(B27&gt;$B30,($B30-$B29)*$C30,(B27-$B29)*$C30),0)</f>
        <v>0</v>
      </c>
      <c r="E30" s="89"/>
      <c r="F30" s="92"/>
      <c r="G30" s="74"/>
      <c r="H30" s="74"/>
      <c r="I30" s="91"/>
      <c r="J30" s="74"/>
      <c r="K30" s="89"/>
      <c r="L30" s="89"/>
      <c r="M30" s="98"/>
      <c r="N30" s="89"/>
      <c r="O30" s="100"/>
    </row>
    <row r="31" spans="1:15" x14ac:dyDescent="0.15">
      <c r="A31" s="88" t="s">
        <v>79</v>
      </c>
      <c r="B31" s="74">
        <f>LOOKUP($A$1,$B$96:$O$96,B100:O100)</f>
        <v>98604</v>
      </c>
      <c r="C31" s="74">
        <f>-1*(LOOKUP($A$1,$B$96:$O$96,B105:O105))</f>
        <v>-0.06</v>
      </c>
      <c r="D31" s="91">
        <f>IF(B27&lt;B30,0,IF(B27&gt;$B31,($B31-$B30)*$C31,(B27-$B30)*$C31))</f>
        <v>0</v>
      </c>
      <c r="E31" s="89"/>
      <c r="F31" s="92"/>
      <c r="G31" s="74"/>
      <c r="H31" s="74"/>
      <c r="I31" s="91"/>
      <c r="J31" s="74"/>
      <c r="K31" s="89"/>
      <c r="L31" s="89"/>
      <c r="M31" s="98"/>
      <c r="N31" s="89"/>
      <c r="O31" s="100"/>
    </row>
    <row r="32" spans="1:15" ht="15" x14ac:dyDescent="0.15">
      <c r="A32" s="88" t="s">
        <v>86</v>
      </c>
      <c r="B32" s="89">
        <f>LOOKUP($A$1,$B$96:$O$96,B107:O107)</f>
        <v>3819</v>
      </c>
      <c r="C32" s="89">
        <f>LOOKUP($A$1,$B$96:$O$96,B108:O108)</f>
        <v>0</v>
      </c>
      <c r="D32" s="94">
        <f>MAX(SUM(D28:D31),C32)</f>
        <v>0</v>
      </c>
      <c r="E32" s="89"/>
      <c r="F32" s="92"/>
      <c r="G32" s="89"/>
      <c r="H32" s="89"/>
      <c r="I32" s="95"/>
      <c r="J32" s="74"/>
      <c r="K32" s="89"/>
      <c r="L32" s="89"/>
      <c r="M32" s="98"/>
      <c r="N32" s="89"/>
      <c r="O32" s="100"/>
    </row>
    <row r="33" spans="1:15" x14ac:dyDescent="0.15">
      <c r="A33" s="88"/>
      <c r="B33" s="89"/>
      <c r="C33" s="89"/>
      <c r="D33" s="91"/>
      <c r="E33" s="89"/>
      <c r="F33" s="99"/>
      <c r="G33" s="91"/>
      <c r="H33" s="91"/>
      <c r="I33" s="74"/>
      <c r="J33" s="89"/>
      <c r="K33" s="89"/>
      <c r="L33" s="89"/>
      <c r="M33" s="98"/>
      <c r="N33" s="89"/>
      <c r="O33" s="100"/>
    </row>
    <row r="34" spans="1:15" x14ac:dyDescent="0.15">
      <c r="A34" s="88" t="s">
        <v>66</v>
      </c>
      <c r="B34" s="101">
        <f>'1'!E8</f>
        <v>0</v>
      </c>
      <c r="C34" s="89"/>
      <c r="D34" s="91"/>
      <c r="E34" s="89"/>
      <c r="F34" s="88"/>
      <c r="G34" s="89"/>
      <c r="H34" s="89"/>
      <c r="I34" s="91"/>
      <c r="J34" s="89"/>
      <c r="K34" s="89"/>
      <c r="L34" s="89"/>
      <c r="M34" s="98"/>
      <c r="N34" s="89"/>
      <c r="O34" s="100"/>
    </row>
    <row r="35" spans="1:15" ht="15" x14ac:dyDescent="0.15">
      <c r="A35" s="84" t="s">
        <v>87</v>
      </c>
      <c r="B35" s="90">
        <f>LOOKUP(A1,B73:O73,B110:O110)</f>
        <v>3.5000000000000003E-2</v>
      </c>
      <c r="C35" s="89">
        <f>IF(MAX(A3-B10,0)&gt;B34,B34,MAX((A3-B10),0))</f>
        <v>0</v>
      </c>
      <c r="D35" s="102">
        <f>ROUNDDOWN(B35*C35,0)</f>
        <v>0</v>
      </c>
      <c r="E35" s="89"/>
      <c r="F35" s="88"/>
      <c r="G35" s="90"/>
      <c r="H35" s="89"/>
      <c r="I35" s="103"/>
      <c r="J35" s="89"/>
      <c r="K35" s="89"/>
      <c r="L35" s="89"/>
      <c r="M35" s="98"/>
      <c r="N35" s="89"/>
      <c r="O35" s="100"/>
    </row>
    <row r="36" spans="1:15" x14ac:dyDescent="0.15">
      <c r="A36" s="88"/>
      <c r="B36" s="89"/>
      <c r="C36" s="89"/>
      <c r="D36" s="98"/>
      <c r="E36" s="89"/>
      <c r="F36" s="100"/>
      <c r="G36" s="91"/>
      <c r="H36" s="91"/>
      <c r="I36" s="74"/>
      <c r="J36" s="89"/>
      <c r="K36" s="89"/>
      <c r="L36" s="89"/>
      <c r="M36" s="98"/>
      <c r="N36" s="89"/>
      <c r="O36" s="100"/>
    </row>
    <row r="37" spans="1:15" ht="15" x14ac:dyDescent="0.15">
      <c r="A37" s="84" t="s">
        <v>88</v>
      </c>
      <c r="B37" s="104" t="b">
        <f>'Calc 1a'!B37</f>
        <v>1</v>
      </c>
      <c r="C37" s="89">
        <f>IF(B37,LOOKUP(A1,B129:O129,B130:O130),0)</f>
        <v>7030</v>
      </c>
      <c r="D37" s="105">
        <f>MIN(C37,A2)</f>
        <v>0</v>
      </c>
      <c r="E37" s="89"/>
      <c r="F37" s="100"/>
      <c r="G37" s="91"/>
      <c r="H37" s="91"/>
      <c r="I37" s="74"/>
      <c r="J37" s="89"/>
      <c r="K37" s="89"/>
      <c r="L37" s="89"/>
      <c r="M37" s="98"/>
      <c r="N37" s="89"/>
      <c r="O37" s="100"/>
    </row>
    <row r="38" spans="1:15" ht="15" x14ac:dyDescent="0.15">
      <c r="A38" s="84" t="s">
        <v>89</v>
      </c>
      <c r="B38" s="104"/>
      <c r="C38" s="89"/>
      <c r="D38" s="105">
        <f>IF(B38,LOOKUP(A1,B129:O129,B131:O131),0)</f>
        <v>0</v>
      </c>
      <c r="E38" s="89"/>
      <c r="F38" s="100"/>
      <c r="G38" s="91"/>
      <c r="H38" s="91"/>
      <c r="I38" s="74"/>
      <c r="J38" s="89"/>
      <c r="K38" s="89"/>
      <c r="L38" s="89"/>
      <c r="M38" s="98"/>
      <c r="N38" s="89"/>
      <c r="O38" s="100"/>
    </row>
    <row r="39" spans="1:15" ht="15" x14ac:dyDescent="0.15">
      <c r="A39" s="84"/>
      <c r="B39" s="106"/>
      <c r="C39" s="89"/>
      <c r="D39" s="107"/>
      <c r="E39" s="89"/>
      <c r="F39" s="100"/>
      <c r="G39" s="91"/>
      <c r="H39" s="91"/>
      <c r="I39" s="74"/>
      <c r="J39" s="89"/>
      <c r="K39" s="89"/>
      <c r="L39" s="89"/>
      <c r="M39" s="98"/>
      <c r="N39" s="89"/>
      <c r="O39" s="100"/>
    </row>
    <row r="40" spans="1:15" ht="15" x14ac:dyDescent="0.15">
      <c r="A40" s="84" t="s">
        <v>90</v>
      </c>
      <c r="B40" s="108">
        <f>A2-D37-D38-D59-D50</f>
        <v>0</v>
      </c>
      <c r="C40" s="89">
        <f>LOOKUP(A1,B134:O134,B135:O135)</f>
        <v>0.14000000000000001</v>
      </c>
      <c r="D40" s="111">
        <f>ROUNDUP(C40*B40,0)</f>
        <v>0</v>
      </c>
      <c r="E40" s="89"/>
      <c r="F40" s="100"/>
      <c r="G40" s="91"/>
      <c r="H40" s="91"/>
      <c r="I40" s="74"/>
      <c r="J40" s="89"/>
      <c r="K40" s="89"/>
      <c r="L40" s="89"/>
      <c r="M40" s="98"/>
      <c r="N40" s="89"/>
      <c r="O40" s="100"/>
    </row>
    <row r="41" spans="1:15" ht="15" x14ac:dyDescent="0.15">
      <c r="A41" s="88"/>
      <c r="B41" s="106"/>
      <c r="C41" s="89"/>
      <c r="D41" s="107"/>
      <c r="E41" s="89"/>
      <c r="F41" s="100"/>
      <c r="G41" s="91"/>
      <c r="H41" s="91"/>
      <c r="I41" s="74"/>
      <c r="J41" s="89"/>
      <c r="K41" s="89"/>
      <c r="L41" s="89"/>
      <c r="M41" s="98"/>
      <c r="N41" s="89"/>
      <c r="O41" s="100"/>
    </row>
    <row r="42" spans="1:15" x14ac:dyDescent="0.15">
      <c r="A42" s="84" t="s">
        <v>91</v>
      </c>
      <c r="B42" s="89">
        <f>LOOKUP(A1,B113:O113,B114:O114)</f>
        <v>5072</v>
      </c>
      <c r="C42" s="89">
        <f>LOOKUP(A1,B113:O113,B116:O116)</f>
        <v>0.11449999999999999</v>
      </c>
      <c r="D42" s="109">
        <f>ROUNDUP(IF(A3&gt;B42,(C42*(A3-B42))+B43,B43),0)</f>
        <v>0</v>
      </c>
      <c r="E42" s="89"/>
      <c r="F42" s="100"/>
      <c r="G42" s="91"/>
      <c r="H42" s="91"/>
      <c r="I42" s="74"/>
      <c r="J42" s="89"/>
      <c r="K42" s="89"/>
      <c r="L42" s="89"/>
      <c r="M42" s="98"/>
      <c r="N42" s="89"/>
      <c r="O42" s="100"/>
    </row>
    <row r="43" spans="1:15" x14ac:dyDescent="0.15">
      <c r="A43" s="88" t="s">
        <v>92</v>
      </c>
      <c r="B43" s="89">
        <f>LOOKUP($A$1,$B$113:$O$113,B117:O117)</f>
        <v>0</v>
      </c>
      <c r="C43" s="89"/>
      <c r="D43" s="109"/>
      <c r="E43" s="89"/>
      <c r="F43" s="100"/>
      <c r="G43" s="91"/>
      <c r="H43" s="91"/>
      <c r="I43" s="74"/>
      <c r="J43" s="89"/>
      <c r="K43" s="89"/>
      <c r="L43" s="89"/>
      <c r="M43" s="98"/>
      <c r="N43" s="89"/>
      <c r="O43" s="100"/>
    </row>
    <row r="44" spans="1:15" ht="15" x14ac:dyDescent="0.15">
      <c r="A44" s="88" t="s">
        <v>93</v>
      </c>
      <c r="B44" s="89">
        <f>LOOKUP($A$1,$B$113:$O$113,B118:O118)</f>
        <v>2881</v>
      </c>
      <c r="C44" s="89"/>
      <c r="D44" s="102">
        <f>MIN(D42,B44)</f>
        <v>0</v>
      </c>
      <c r="E44" s="89"/>
      <c r="F44" s="100"/>
      <c r="G44" s="91"/>
      <c r="H44" s="91"/>
      <c r="I44" s="74"/>
      <c r="J44" s="89"/>
      <c r="K44" s="89"/>
      <c r="L44" s="89"/>
      <c r="M44" s="98"/>
      <c r="N44" s="89"/>
      <c r="O44" s="100"/>
    </row>
    <row r="45" spans="1:15" x14ac:dyDescent="0.15">
      <c r="A45" s="88"/>
      <c r="B45" s="89"/>
      <c r="C45" s="89"/>
      <c r="D45" s="98"/>
      <c r="E45" s="89"/>
      <c r="F45" s="100"/>
      <c r="G45" s="91"/>
      <c r="H45" s="91"/>
      <c r="I45" s="74"/>
      <c r="J45" s="89"/>
      <c r="K45" s="89"/>
      <c r="L45" s="89"/>
      <c r="M45" s="98"/>
      <c r="N45" s="89"/>
      <c r="O45" s="100"/>
    </row>
    <row r="46" spans="1:15" ht="15" x14ac:dyDescent="0.15">
      <c r="A46" s="84" t="s">
        <v>94</v>
      </c>
      <c r="B46" s="89">
        <f>LOOKUP(A1,B120:O120,B123:O123)</f>
        <v>57232</v>
      </c>
      <c r="C46" s="89">
        <f>LOOKUP(A1,B120:O120,B122:O122)</f>
        <v>5.45E-2</v>
      </c>
      <c r="D46" s="102">
        <f>IF($A$3&gt;B46,B46*C46,A3*C46)</f>
        <v>0</v>
      </c>
      <c r="E46" s="89"/>
      <c r="F46" s="100"/>
      <c r="G46" s="91"/>
      <c r="H46" s="91"/>
      <c r="I46" s="74"/>
      <c r="J46" s="89"/>
      <c r="K46" s="89"/>
      <c r="L46" s="89"/>
      <c r="M46" s="98"/>
      <c r="N46" s="89"/>
      <c r="O46" s="100"/>
    </row>
    <row r="47" spans="1:15" ht="15" x14ac:dyDescent="0.15">
      <c r="A47" s="84" t="s">
        <v>95</v>
      </c>
      <c r="B47" s="89">
        <f>LOOKUP(A1,B120:O120,B123:O123)</f>
        <v>57232</v>
      </c>
      <c r="C47" s="89">
        <f>LOOKUP(A1,B120:O120,B121:O121)</f>
        <v>6.7000000000000004E-2</v>
      </c>
      <c r="D47" s="102">
        <f>IF($A$3&gt;B47,B47*C47,A3*C47)</f>
        <v>0</v>
      </c>
      <c r="E47" s="89"/>
      <c r="F47" s="100"/>
      <c r="G47" s="91"/>
      <c r="H47" s="91"/>
      <c r="I47" s="74"/>
      <c r="J47" s="89"/>
      <c r="K47" s="89"/>
      <c r="L47" s="89"/>
      <c r="M47" s="98"/>
      <c r="N47" s="89"/>
      <c r="O47" s="100"/>
    </row>
    <row r="48" spans="1:15" x14ac:dyDescent="0.15">
      <c r="A48" s="88"/>
      <c r="B48" s="89"/>
      <c r="C48" s="89"/>
      <c r="D48" s="98"/>
      <c r="E48" s="89"/>
      <c r="F48" s="100"/>
      <c r="G48" s="91"/>
      <c r="H48" s="91"/>
      <c r="I48" s="74"/>
      <c r="J48" s="89"/>
      <c r="K48" s="89"/>
      <c r="L48" s="89"/>
      <c r="M48" s="98"/>
      <c r="N48" s="89"/>
      <c r="O48" s="100"/>
    </row>
    <row r="49" spans="1:15" x14ac:dyDescent="0.15">
      <c r="A49" s="84" t="s">
        <v>96</v>
      </c>
      <c r="B49" s="89">
        <f>LOOKUP(A1,B125:O125,B127:O127)</f>
        <v>9218</v>
      </c>
      <c r="C49" s="89">
        <f>LOOKUP(A1,B125:O125,B126:O126)</f>
        <v>9.4399999999999998E-2</v>
      </c>
      <c r="D49" s="133">
        <f>MIN(A2*C49,B49)</f>
        <v>0</v>
      </c>
      <c r="E49" s="89"/>
      <c r="F49" s="100"/>
      <c r="G49" s="91"/>
      <c r="H49" s="91"/>
      <c r="I49" s="74"/>
      <c r="J49" s="89"/>
      <c r="K49" s="89"/>
      <c r="L49" s="89"/>
      <c r="M49" s="98"/>
      <c r="N49" s="89"/>
      <c r="O49" s="100"/>
    </row>
    <row r="50" spans="1:15" ht="15" x14ac:dyDescent="0.15">
      <c r="A50" s="88" t="b">
        <v>1</v>
      </c>
      <c r="B50" s="89">
        <f>B37*A50</f>
        <v>1</v>
      </c>
      <c r="C50" s="89"/>
      <c r="D50" s="102">
        <f>IF(B50=1,D49,0)</f>
        <v>0</v>
      </c>
      <c r="E50" s="89"/>
      <c r="F50" s="100"/>
      <c r="G50" s="91"/>
      <c r="H50" s="91"/>
      <c r="I50" s="74"/>
      <c r="J50" s="89"/>
      <c r="K50" s="89"/>
      <c r="L50" s="89"/>
      <c r="M50" s="98"/>
      <c r="N50" s="89"/>
      <c r="O50" s="100"/>
    </row>
    <row r="51" spans="1:15" x14ac:dyDescent="0.15">
      <c r="A51" s="88"/>
      <c r="B51" s="89"/>
      <c r="C51" s="89"/>
      <c r="D51" s="98"/>
      <c r="E51" s="89"/>
      <c r="F51" s="100"/>
      <c r="G51" s="91"/>
      <c r="H51" s="91"/>
      <c r="I51" s="74"/>
      <c r="J51" s="89"/>
      <c r="K51" s="89"/>
      <c r="L51" s="89"/>
      <c r="M51" s="98"/>
      <c r="N51" s="89"/>
      <c r="O51" s="100"/>
    </row>
    <row r="52" spans="1:15" ht="15" x14ac:dyDescent="0.15">
      <c r="A52" s="84" t="s">
        <v>8</v>
      </c>
      <c r="B52" s="101">
        <f>'1'!E7</f>
        <v>0</v>
      </c>
      <c r="C52" s="89"/>
      <c r="D52" s="94">
        <f>SUM(D53:D57)</f>
        <v>0</v>
      </c>
      <c r="E52" s="89"/>
      <c r="F52" s="100"/>
      <c r="G52" s="91"/>
      <c r="H52" s="91"/>
      <c r="I52" s="74"/>
      <c r="J52" s="89"/>
      <c r="K52" s="89"/>
      <c r="L52" s="89"/>
      <c r="M52" s="98"/>
      <c r="N52" s="89"/>
      <c r="O52" s="100"/>
    </row>
    <row r="53" spans="1:15" x14ac:dyDescent="0.15">
      <c r="A53" s="88" t="s">
        <v>76</v>
      </c>
      <c r="B53" s="89">
        <f>A139</f>
        <v>12500</v>
      </c>
      <c r="C53" s="90">
        <f>LOOKUP($A$1,$B$137:$O$137,B139:O139)</f>
        <v>2E-3</v>
      </c>
      <c r="D53" s="110">
        <f>IF($B$52&lt;B53,0,IF($B$52&lt;B54,$B$52*C53,0))</f>
        <v>0</v>
      </c>
      <c r="E53" s="89"/>
      <c r="F53" s="100"/>
      <c r="G53" s="91"/>
      <c r="H53" s="91"/>
      <c r="I53" s="74"/>
      <c r="J53" s="89"/>
      <c r="K53" s="89"/>
      <c r="L53" s="89"/>
      <c r="M53" s="98"/>
      <c r="N53" s="89"/>
      <c r="O53" s="100"/>
    </row>
    <row r="54" spans="1:15" x14ac:dyDescent="0.15">
      <c r="A54" s="88" t="s">
        <v>77</v>
      </c>
      <c r="B54" s="89">
        <f>A140</f>
        <v>25000</v>
      </c>
      <c r="C54" s="90">
        <f>LOOKUP($A$1,$B$137:$O$137,B140:O140)</f>
        <v>3.5000000000000001E-3</v>
      </c>
      <c r="D54" s="110">
        <f>IF($B$52&lt;B54,0,IF($B$52&lt;B55,$B$52*C54,0))</f>
        <v>0</v>
      </c>
      <c r="E54" s="89"/>
      <c r="F54" s="100"/>
      <c r="G54" s="91"/>
      <c r="H54" s="91"/>
      <c r="I54" s="74"/>
      <c r="J54" s="89"/>
      <c r="K54" s="89"/>
      <c r="L54" s="89"/>
      <c r="M54" s="98"/>
      <c r="N54" s="89"/>
      <c r="O54" s="100"/>
    </row>
    <row r="55" spans="1:15" x14ac:dyDescent="0.15">
      <c r="A55" s="88" t="s">
        <v>78</v>
      </c>
      <c r="B55" s="89">
        <f>A141</f>
        <v>50000</v>
      </c>
      <c r="C55" s="90">
        <f>LOOKUP($A$1,$B$137:$O$137,B141:O141)</f>
        <v>4.4999999999999997E-3</v>
      </c>
      <c r="D55" s="110">
        <f>IF($B$52&lt;B55,0,IF($B$52&lt;B56,$B$52*C55,0))</f>
        <v>0</v>
      </c>
      <c r="E55" s="89"/>
      <c r="F55" s="100"/>
      <c r="G55" s="91"/>
      <c r="H55" s="91"/>
      <c r="I55" s="74"/>
      <c r="J55" s="89"/>
      <c r="K55" s="89"/>
      <c r="L55" s="89"/>
      <c r="M55" s="98"/>
      <c r="N55" s="89"/>
      <c r="O55" s="100"/>
    </row>
    <row r="56" spans="1:15" x14ac:dyDescent="0.15">
      <c r="A56" s="88" t="s">
        <v>79</v>
      </c>
      <c r="B56" s="89">
        <f>A142</f>
        <v>75000</v>
      </c>
      <c r="C56" s="90">
        <f>LOOKUP($A$1,$B$137:$O$137,B142:O142)</f>
        <v>6.0000000000000001E-3</v>
      </c>
      <c r="D56" s="110">
        <f>IF($B$52&lt;B56,0,IF($B$52&lt;B57,$B$52*C56,0))</f>
        <v>0</v>
      </c>
      <c r="E56" s="89"/>
      <c r="F56" s="100"/>
      <c r="G56" s="91"/>
      <c r="H56" s="91"/>
      <c r="I56" s="74"/>
      <c r="J56" s="89"/>
      <c r="K56" s="89"/>
      <c r="L56" s="89"/>
      <c r="M56" s="98"/>
      <c r="N56" s="89"/>
      <c r="O56" s="100"/>
    </row>
    <row r="57" spans="1:15" x14ac:dyDescent="0.15">
      <c r="A57" s="88" t="s">
        <v>97</v>
      </c>
      <c r="B57" s="89">
        <f>A143</f>
        <v>1090000</v>
      </c>
      <c r="C57" s="90">
        <f>LOOKUP($A$1,$B$137:$O$137,B143:O143)</f>
        <v>2.35E-2</v>
      </c>
      <c r="D57" s="110">
        <f>IF($B$52&gt;B57,(C56*B57)+(C57*(B52-B57)),0)</f>
        <v>0</v>
      </c>
      <c r="E57" s="89"/>
      <c r="F57" s="100"/>
      <c r="G57" s="91"/>
      <c r="H57" s="91"/>
      <c r="I57" s="74"/>
      <c r="J57" s="89"/>
      <c r="K57" s="89"/>
      <c r="L57" s="89"/>
      <c r="M57" s="98"/>
      <c r="N57" s="89"/>
      <c r="O57" s="100"/>
    </row>
    <row r="58" spans="1:15" x14ac:dyDescent="0.15">
      <c r="A58" s="88"/>
      <c r="B58" s="89"/>
      <c r="C58" s="89"/>
      <c r="D58" s="98"/>
      <c r="E58" s="89"/>
      <c r="F58" s="100"/>
      <c r="G58" s="91"/>
      <c r="H58" s="91"/>
      <c r="I58" s="74"/>
      <c r="J58" s="89"/>
      <c r="K58" s="89"/>
      <c r="L58" s="89"/>
      <c r="M58" s="98"/>
      <c r="N58" s="89"/>
      <c r="O58" s="100"/>
    </row>
    <row r="59" spans="1:15" ht="15" x14ac:dyDescent="0.15">
      <c r="A59" s="84" t="s">
        <v>21</v>
      </c>
      <c r="B59" s="101">
        <f>'1'!E28</f>
        <v>0</v>
      </c>
      <c r="C59" s="89"/>
      <c r="D59" s="111">
        <f>SUM(D60:D63)</f>
        <v>0</v>
      </c>
      <c r="E59" s="89"/>
      <c r="F59" s="100"/>
      <c r="G59" s="91"/>
      <c r="H59" s="91"/>
      <c r="I59" s="74"/>
      <c r="J59" s="89"/>
      <c r="K59" s="89"/>
      <c r="L59" s="89"/>
      <c r="M59" s="98"/>
      <c r="N59" s="89"/>
      <c r="O59" s="100"/>
    </row>
    <row r="60" spans="1:15" x14ac:dyDescent="0.15">
      <c r="A60" s="88" t="s">
        <v>76</v>
      </c>
      <c r="B60" s="89">
        <v>525</v>
      </c>
      <c r="C60" s="98">
        <v>1.2500000000000001E-2</v>
      </c>
      <c r="D60" s="110">
        <f>IF($B$59&lt;B60,0,IF($B$59&lt;B61,$A$2*C60,0))</f>
        <v>0</v>
      </c>
      <c r="E60" s="89"/>
      <c r="F60" s="100"/>
      <c r="G60" s="91"/>
      <c r="H60" s="91"/>
      <c r="I60" s="74"/>
      <c r="J60" s="89"/>
      <c r="K60" s="89"/>
      <c r="L60" s="89"/>
      <c r="M60" s="98"/>
      <c r="N60" s="89"/>
      <c r="O60" s="100"/>
    </row>
    <row r="61" spans="1:15" x14ac:dyDescent="0.15">
      <c r="A61" s="88" t="s">
        <v>77</v>
      </c>
      <c r="B61" s="89">
        <v>875</v>
      </c>
      <c r="C61" s="97">
        <v>0.02</v>
      </c>
      <c r="D61" s="110">
        <f>IF($B$59&lt;B61,0,IF($B$59&lt;B62,$A$2*C61,0))</f>
        <v>0</v>
      </c>
      <c r="E61" s="89"/>
      <c r="F61" s="100"/>
      <c r="G61" s="91"/>
      <c r="H61" s="91"/>
      <c r="I61" s="74"/>
      <c r="J61" s="89"/>
      <c r="K61" s="89"/>
      <c r="L61" s="89"/>
      <c r="M61" s="98"/>
      <c r="N61" s="89"/>
      <c r="O61" s="100"/>
    </row>
    <row r="62" spans="1:15" x14ac:dyDescent="0.15">
      <c r="A62" s="88" t="s">
        <v>78</v>
      </c>
      <c r="B62" s="89">
        <v>1225</v>
      </c>
      <c r="C62" s="97">
        <v>0.03</v>
      </c>
      <c r="D62" s="110">
        <f>IF($B$59&lt;B62,0,IF($B$59&lt;B63,$A$2*C62,0))</f>
        <v>0</v>
      </c>
      <c r="E62" s="89"/>
      <c r="F62" s="100"/>
      <c r="G62" s="91"/>
      <c r="H62" s="91"/>
      <c r="I62" s="74"/>
      <c r="J62" s="89"/>
      <c r="K62" s="89"/>
      <c r="L62" s="89"/>
      <c r="M62" s="98"/>
      <c r="N62" s="89"/>
      <c r="O62" s="100"/>
    </row>
    <row r="63" spans="1:15" x14ac:dyDescent="0.15">
      <c r="A63" s="88" t="s">
        <v>79</v>
      </c>
      <c r="B63" s="89">
        <v>1750</v>
      </c>
      <c r="C63" s="97">
        <v>0.04</v>
      </c>
      <c r="D63" s="110">
        <f>IF($B$59&lt;B63,0,$A$2*C63)</f>
        <v>0</v>
      </c>
      <c r="E63" s="89"/>
      <c r="F63" s="100"/>
      <c r="G63" s="91"/>
      <c r="H63" s="91"/>
      <c r="I63" s="74"/>
      <c r="J63" s="89"/>
      <c r="K63" s="89"/>
      <c r="L63" s="89"/>
      <c r="M63" s="98"/>
      <c r="N63" s="89"/>
      <c r="O63" s="100"/>
    </row>
    <row r="64" spans="1:15" x14ac:dyDescent="0.15">
      <c r="A64" s="88"/>
      <c r="B64" s="89"/>
      <c r="C64" s="89"/>
      <c r="D64" s="98"/>
      <c r="E64" s="89"/>
      <c r="F64" s="100"/>
      <c r="G64" s="91"/>
      <c r="H64" s="91"/>
      <c r="I64" s="74"/>
      <c r="J64" s="89"/>
      <c r="K64" s="89"/>
      <c r="L64" s="89"/>
      <c r="M64" s="98"/>
      <c r="N64" s="89"/>
      <c r="O64" s="100"/>
    </row>
    <row r="65" spans="1:20" ht="15" x14ac:dyDescent="0.15">
      <c r="A65" s="84"/>
      <c r="B65" s="89"/>
      <c r="C65" s="89"/>
      <c r="D65" s="128"/>
      <c r="E65" s="89"/>
      <c r="F65" s="100"/>
      <c r="G65" s="91"/>
      <c r="H65" s="91"/>
      <c r="I65" s="74"/>
      <c r="J65" s="89"/>
      <c r="K65" s="89"/>
      <c r="L65" s="89"/>
      <c r="M65" s="98"/>
      <c r="N65" s="89"/>
      <c r="O65" s="100"/>
    </row>
    <row r="66" spans="1:20" x14ac:dyDescent="0.15">
      <c r="A66" s="88"/>
      <c r="B66" s="98"/>
      <c r="C66" s="89"/>
      <c r="D66" s="98"/>
      <c r="E66" s="89"/>
      <c r="F66" s="100"/>
      <c r="G66" s="91"/>
      <c r="H66" s="91"/>
      <c r="I66" s="74"/>
      <c r="J66" s="89"/>
      <c r="K66" s="89"/>
      <c r="L66" s="89"/>
      <c r="M66" s="98"/>
      <c r="N66" s="89"/>
      <c r="O66" s="100"/>
    </row>
    <row r="67" spans="1:20" x14ac:dyDescent="0.15">
      <c r="A67" s="88"/>
      <c r="B67" s="110"/>
      <c r="C67" s="89"/>
      <c r="D67" s="98"/>
      <c r="E67" s="89"/>
      <c r="F67" s="100"/>
      <c r="G67" s="91"/>
      <c r="H67" s="91"/>
      <c r="I67" s="74"/>
      <c r="J67" s="89"/>
      <c r="K67" s="89"/>
      <c r="L67" s="89"/>
      <c r="M67" s="98"/>
      <c r="N67" s="89"/>
      <c r="O67" s="100"/>
    </row>
    <row r="68" spans="1:20" x14ac:dyDescent="0.15">
      <c r="A68" s="88"/>
      <c r="B68" s="149"/>
      <c r="C68" s="89"/>
      <c r="D68" s="98"/>
      <c r="E68" s="89"/>
      <c r="F68" s="100"/>
      <c r="G68" s="91"/>
      <c r="H68" s="91"/>
      <c r="I68" s="74"/>
      <c r="J68" s="89"/>
      <c r="K68" s="89"/>
      <c r="L68" s="89"/>
      <c r="M68" s="98"/>
      <c r="N68" s="89"/>
      <c r="O68" s="100"/>
    </row>
    <row r="69" spans="1:20" x14ac:dyDescent="0.15">
      <c r="A69" s="88"/>
      <c r="B69" s="89"/>
      <c r="C69" s="89"/>
      <c r="D69" s="98"/>
      <c r="E69" s="89"/>
      <c r="F69" s="100"/>
      <c r="G69" s="91"/>
      <c r="H69" s="91"/>
      <c r="I69" s="74"/>
      <c r="J69" s="89"/>
      <c r="K69" s="89"/>
      <c r="L69" s="89"/>
      <c r="M69" s="98"/>
      <c r="N69" s="89"/>
      <c r="O69" s="100"/>
    </row>
    <row r="70" spans="1:20" ht="15" x14ac:dyDescent="0.15">
      <c r="A70" s="115" t="s">
        <v>102</v>
      </c>
      <c r="B70" s="89"/>
      <c r="C70" s="89"/>
      <c r="D70" s="89"/>
      <c r="E70" s="89"/>
      <c r="F70" s="89"/>
      <c r="G70" s="116"/>
      <c r="H70" s="116"/>
      <c r="I70" s="74"/>
      <c r="J70" s="89"/>
      <c r="K70" s="89"/>
      <c r="L70" s="89"/>
      <c r="M70" s="89"/>
      <c r="N70" s="89"/>
      <c r="O70" s="89"/>
    </row>
    <row r="71" spans="1:20" x14ac:dyDescent="0.15">
      <c r="A71" s="82"/>
      <c r="B71" s="74"/>
      <c r="C71" s="74"/>
      <c r="D71" s="74"/>
      <c r="E71" s="74"/>
      <c r="F71" s="77"/>
      <c r="G71" s="77"/>
      <c r="H71" s="74"/>
      <c r="I71" s="74"/>
      <c r="J71" s="74"/>
      <c r="K71" s="74"/>
      <c r="L71" s="74"/>
      <c r="M71" s="74"/>
      <c r="N71" s="74"/>
      <c r="O71" s="74"/>
    </row>
    <row r="72" spans="1:20" x14ac:dyDescent="0.15">
      <c r="A72" s="211" t="s">
        <v>29</v>
      </c>
      <c r="B72" s="200"/>
      <c r="C72" s="200"/>
      <c r="D72" s="200"/>
      <c r="E72" s="201"/>
      <c r="F72" s="201"/>
      <c r="G72" s="183"/>
      <c r="H72" s="200"/>
      <c r="I72" s="200"/>
      <c r="J72" s="200"/>
      <c r="K72" s="200"/>
      <c r="L72" s="200"/>
      <c r="M72" s="200"/>
      <c r="N72" s="201"/>
      <c r="O72" s="201"/>
    </row>
    <row r="73" spans="1:20" x14ac:dyDescent="0.15">
      <c r="A73" s="211"/>
      <c r="B73" s="181">
        <v>2012</v>
      </c>
      <c r="C73" s="181">
        <v>2013</v>
      </c>
      <c r="D73" s="181">
        <v>2014</v>
      </c>
      <c r="E73" s="181">
        <v>2015</v>
      </c>
      <c r="F73" s="181">
        <v>2016</v>
      </c>
      <c r="G73" s="181">
        <v>2017</v>
      </c>
      <c r="H73" s="181">
        <v>2018</v>
      </c>
      <c r="I73" s="181">
        <v>2019</v>
      </c>
      <c r="J73" s="181">
        <v>2020</v>
      </c>
      <c r="K73" s="181">
        <v>2021</v>
      </c>
      <c r="L73" s="181">
        <v>2022</v>
      </c>
      <c r="M73" s="181">
        <v>2023</v>
      </c>
      <c r="N73" s="181">
        <v>2024</v>
      </c>
      <c r="O73" s="181">
        <v>2025</v>
      </c>
      <c r="P73"/>
      <c r="Q73"/>
      <c r="R73"/>
      <c r="S73"/>
      <c r="T73"/>
    </row>
    <row r="74" spans="1:20" x14ac:dyDescent="0.15">
      <c r="A74" s="212" t="s">
        <v>103</v>
      </c>
      <c r="B74" s="182">
        <v>18945</v>
      </c>
      <c r="C74" s="182">
        <v>19645</v>
      </c>
      <c r="D74" s="182">
        <v>19645</v>
      </c>
      <c r="E74" s="182">
        <v>19822</v>
      </c>
      <c r="F74" s="182">
        <v>19922</v>
      </c>
      <c r="G74" s="182">
        <v>19982</v>
      </c>
      <c r="H74" s="182">
        <v>20142</v>
      </c>
      <c r="I74" s="182">
        <v>20384</v>
      </c>
      <c r="J74" s="182">
        <v>20711</v>
      </c>
      <c r="K74" s="182">
        <v>20939</v>
      </c>
      <c r="L74" s="182"/>
      <c r="M74" s="182"/>
      <c r="N74" s="182"/>
      <c r="O74" s="182"/>
      <c r="P74"/>
      <c r="Q74"/>
      <c r="R74"/>
      <c r="S74"/>
      <c r="T74"/>
    </row>
    <row r="75" spans="1:20" x14ac:dyDescent="0.15">
      <c r="A75" s="212"/>
      <c r="B75" s="182">
        <f>IF($A$4&lt;1946-1-1,34055,33863)</f>
        <v>33863</v>
      </c>
      <c r="C75" s="182">
        <f>IF($A$4&lt;1946-1-1,33555,33363)</f>
        <v>33363</v>
      </c>
      <c r="D75" s="182">
        <f>IF($A$4&lt;1946-1-1,33555,33363)</f>
        <v>33363</v>
      </c>
      <c r="E75" s="182">
        <f>IF($A$4&lt;1946-1-1,33857,33589)</f>
        <v>33589</v>
      </c>
      <c r="F75" s="182">
        <f>IF($A$4&lt;1946-1-1,34027,33715)</f>
        <v>33715</v>
      </c>
      <c r="G75" s="182">
        <f>IF($A$4&lt;1946-1-1,34130,33791)</f>
        <v>33791</v>
      </c>
      <c r="H75" s="182">
        <f>IF($A$4&lt;1946-1-1,34404,33994)</f>
        <v>33994</v>
      </c>
      <c r="I75" s="182">
        <f>IF($A$4&lt;1946-1-1,34817,34300)</f>
        <v>34300</v>
      </c>
      <c r="J75" s="182">
        <f>IF($A$4&lt;1946-1-1,35375,34712)</f>
        <v>34712</v>
      </c>
      <c r="K75" s="182">
        <f>IF($A$4&lt;1946-1-1,35765,34999)</f>
        <v>34999</v>
      </c>
      <c r="L75" s="182"/>
      <c r="M75" s="182"/>
      <c r="N75" s="182"/>
      <c r="O75" s="182"/>
      <c r="P75"/>
      <c r="Q75"/>
      <c r="R75"/>
      <c r="S75"/>
      <c r="T75"/>
    </row>
    <row r="76" spans="1:20" x14ac:dyDescent="0.15">
      <c r="A76" s="212"/>
      <c r="B76" s="182">
        <v>56491</v>
      </c>
      <c r="C76" s="182">
        <v>55991</v>
      </c>
      <c r="D76" s="182">
        <v>56531</v>
      </c>
      <c r="E76" s="182">
        <v>57585</v>
      </c>
      <c r="F76" s="182">
        <v>66421</v>
      </c>
      <c r="G76" s="182">
        <v>67072</v>
      </c>
      <c r="H76" s="182">
        <v>68507</v>
      </c>
      <c r="I76" s="182">
        <v>68507</v>
      </c>
      <c r="J76" s="182">
        <v>68507</v>
      </c>
      <c r="K76" s="182">
        <v>68507</v>
      </c>
      <c r="L76" s="182"/>
      <c r="M76" s="182"/>
      <c r="N76" s="182"/>
      <c r="O76" s="182"/>
      <c r="P76"/>
      <c r="Q76"/>
      <c r="R76"/>
      <c r="S76"/>
      <c r="T76"/>
    </row>
    <row r="77" spans="1:20" x14ac:dyDescent="0.15">
      <c r="A77" s="212"/>
      <c r="B77" s="183"/>
      <c r="C77" s="183"/>
      <c r="D77" s="183"/>
      <c r="E77" s="183"/>
      <c r="F77" s="183"/>
      <c r="G77" s="183"/>
      <c r="H77" s="183"/>
      <c r="I77" s="183"/>
      <c r="J77" s="183"/>
      <c r="K77" s="183"/>
      <c r="L77" s="183"/>
      <c r="M77" s="183"/>
      <c r="N77" s="183"/>
      <c r="O77" s="183"/>
      <c r="P77"/>
      <c r="Q77"/>
      <c r="R77"/>
      <c r="S77"/>
      <c r="T77"/>
    </row>
    <row r="78" spans="1:20" x14ac:dyDescent="0.15">
      <c r="A78" s="212" t="s">
        <v>104</v>
      </c>
      <c r="B78" s="184">
        <v>17168</v>
      </c>
      <c r="C78" s="185">
        <v>17533</v>
      </c>
      <c r="D78" s="184">
        <v>17868</v>
      </c>
      <c r="E78" s="184">
        <v>18203</v>
      </c>
      <c r="F78" s="184">
        <v>18537</v>
      </c>
      <c r="G78" s="184">
        <v>18810</v>
      </c>
      <c r="H78" s="184">
        <v>19085</v>
      </c>
      <c r="I78" s="184">
        <v>19360</v>
      </c>
      <c r="J78" s="184">
        <v>19603</v>
      </c>
      <c r="K78" s="184">
        <v>19968</v>
      </c>
      <c r="L78" s="184">
        <v>20333</v>
      </c>
      <c r="M78" s="184">
        <v>20729</v>
      </c>
      <c r="N78" s="184">
        <v>20880</v>
      </c>
      <c r="O78" s="184">
        <v>21186</v>
      </c>
      <c r="P78"/>
      <c r="Q78"/>
      <c r="R78"/>
      <c r="S78"/>
      <c r="T78"/>
    </row>
    <row r="79" spans="1:20" x14ac:dyDescent="0.15">
      <c r="A79" s="212" t="s">
        <v>105</v>
      </c>
      <c r="B79" s="183" t="b">
        <f t="shared" ref="B79:O79" si="0">$A$4&lt;B78</f>
        <v>0</v>
      </c>
      <c r="C79" s="183" t="b">
        <f t="shared" si="0"/>
        <v>0</v>
      </c>
      <c r="D79" s="183" t="b">
        <f t="shared" si="0"/>
        <v>0</v>
      </c>
      <c r="E79" s="183" t="b">
        <f t="shared" si="0"/>
        <v>0</v>
      </c>
      <c r="F79" s="183" t="b">
        <f t="shared" si="0"/>
        <v>0</v>
      </c>
      <c r="G79" s="183" t="b">
        <f t="shared" si="0"/>
        <v>0</v>
      </c>
      <c r="H79" s="183" t="b">
        <f t="shared" si="0"/>
        <v>0</v>
      </c>
      <c r="I79" s="183" t="b">
        <f t="shared" si="0"/>
        <v>0</v>
      </c>
      <c r="J79" s="183" t="b">
        <f t="shared" si="0"/>
        <v>0</v>
      </c>
      <c r="K79" s="183" t="b">
        <f t="shared" si="0"/>
        <v>0</v>
      </c>
      <c r="L79" s="183" t="b">
        <f t="shared" si="0"/>
        <v>0</v>
      </c>
      <c r="M79" s="183" t="b">
        <f t="shared" si="0"/>
        <v>0</v>
      </c>
      <c r="N79" s="183" t="b">
        <f t="shared" si="0"/>
        <v>0</v>
      </c>
      <c r="O79" s="183" t="b">
        <f t="shared" si="0"/>
        <v>0</v>
      </c>
      <c r="P79"/>
      <c r="Q79"/>
      <c r="R79"/>
      <c r="S79"/>
      <c r="T79"/>
    </row>
    <row r="80" spans="1:20" x14ac:dyDescent="0.15">
      <c r="A80" s="212" t="s">
        <v>106</v>
      </c>
      <c r="B80" s="186">
        <f>IF(B79=TRUE,15.2%,33.1%)</f>
        <v>0.33100000000000002</v>
      </c>
      <c r="C80" s="186">
        <f>IF(C79=TRUE,19.1%,37%)</f>
        <v>0.37</v>
      </c>
      <c r="D80" s="186">
        <f>IF(D79=TRUE,18.35%,36.25%)</f>
        <v>0.36249999999999999</v>
      </c>
      <c r="E80" s="186">
        <f>IF(E79=TRUE,18.6%,36.5%)</f>
        <v>0.36499999999999999</v>
      </c>
      <c r="F80" s="186">
        <f>IF(F79=TRUE,18.65%,36.55%)</f>
        <v>0.36549999999999999</v>
      </c>
      <c r="G80" s="186">
        <f>IF(G79=TRUE,18.65%,36.55%)</f>
        <v>0.36549999999999999</v>
      </c>
      <c r="H80" s="186">
        <f>IF(H79=TRUE,18.65%,36.55%)</f>
        <v>0.36549999999999999</v>
      </c>
      <c r="I80" s="186">
        <f>IF(I79=TRUE,18.75%,36.65%)</f>
        <v>0.36649999999999999</v>
      </c>
      <c r="J80" s="186">
        <f>IF(J79=TRUE,19.45%,37.35%)</f>
        <v>0.3735</v>
      </c>
      <c r="K80" s="186">
        <f>IF(K79=TRUE,19.2%,37.1%)</f>
        <v>0.371</v>
      </c>
      <c r="L80" s="186"/>
      <c r="M80" s="186"/>
      <c r="N80" s="186"/>
      <c r="O80" s="186"/>
      <c r="P80"/>
      <c r="Q80"/>
      <c r="R80"/>
      <c r="S80"/>
      <c r="T80"/>
    </row>
    <row r="81" spans="1:20" x14ac:dyDescent="0.15">
      <c r="A81" s="212" t="s">
        <v>107</v>
      </c>
      <c r="B81" s="186">
        <f>IF(B79=TRUE,24.05%,41.95%)</f>
        <v>0.41950000000000004</v>
      </c>
      <c r="C81" s="186">
        <f>IF(C79=TRUE,24.1%,42%)</f>
        <v>0.42</v>
      </c>
      <c r="D81" s="186">
        <f>IF(D79=TRUE,24.1%,42%)</f>
        <v>0.42</v>
      </c>
      <c r="E81" s="186">
        <f>IF(E79=TRUE,24.1%,42%)</f>
        <v>0.42</v>
      </c>
      <c r="F81" s="186">
        <f>IF(F79=TRUE,22.5%,40.4%)</f>
        <v>0.40399999999999997</v>
      </c>
      <c r="G81" s="186">
        <f>IF(G79=TRUE,22.9%,40.8%)</f>
        <v>0.40799999999999997</v>
      </c>
      <c r="H81" s="186">
        <f>IF(H79=TRUE,22.95%,40.85%)</f>
        <v>0.40850000000000003</v>
      </c>
      <c r="I81" s="186">
        <f>IF(I79=TRUE,20.2%,38.1%)</f>
        <v>0.38100000000000001</v>
      </c>
      <c r="J81" s="186">
        <f>IF(J79=TRUE,19.45%,37.35%)</f>
        <v>0.3735</v>
      </c>
      <c r="K81" s="186">
        <f>IF(K79=TRUE,19.2%,37.1%)</f>
        <v>0.371</v>
      </c>
      <c r="L81" s="186"/>
      <c r="M81" s="186"/>
      <c r="N81" s="186"/>
      <c r="O81" s="186"/>
      <c r="P81"/>
      <c r="Q81"/>
      <c r="R81"/>
      <c r="S81"/>
      <c r="T81"/>
    </row>
    <row r="82" spans="1:20" x14ac:dyDescent="0.15">
      <c r="A82" s="212" t="s">
        <v>108</v>
      </c>
      <c r="B82" s="186">
        <v>0.42</v>
      </c>
      <c r="C82" s="186">
        <v>0.42</v>
      </c>
      <c r="D82" s="186">
        <v>0.42</v>
      </c>
      <c r="E82" s="186">
        <v>0.42</v>
      </c>
      <c r="F82" s="186">
        <v>0.40400000000000003</v>
      </c>
      <c r="G82" s="186">
        <v>0.40799999999999997</v>
      </c>
      <c r="H82" s="186">
        <v>0.40849999999999997</v>
      </c>
      <c r="I82" s="186">
        <v>0.38100000000000001</v>
      </c>
      <c r="J82" s="186">
        <v>0.3735</v>
      </c>
      <c r="K82" s="186">
        <v>0.371</v>
      </c>
      <c r="L82" s="186"/>
      <c r="M82" s="186"/>
      <c r="N82" s="186"/>
      <c r="O82" s="186"/>
      <c r="P82"/>
      <c r="Q82"/>
      <c r="R82"/>
      <c r="S82"/>
      <c r="T82"/>
    </row>
    <row r="83" spans="1:20" x14ac:dyDescent="0.15">
      <c r="A83" s="212" t="s">
        <v>109</v>
      </c>
      <c r="B83" s="186">
        <v>0.52</v>
      </c>
      <c r="C83" s="186">
        <v>0.52</v>
      </c>
      <c r="D83" s="186">
        <v>0.52</v>
      </c>
      <c r="E83" s="186">
        <v>0.52</v>
      </c>
      <c r="F83" s="186">
        <v>0.52</v>
      </c>
      <c r="G83" s="186">
        <v>0.52</v>
      </c>
      <c r="H83" s="186">
        <v>0.51949999999999996</v>
      </c>
      <c r="I83" s="186">
        <v>0.51749999999999996</v>
      </c>
      <c r="J83" s="186">
        <v>0.495</v>
      </c>
      <c r="K83" s="186">
        <v>0.495</v>
      </c>
      <c r="L83" s="186"/>
      <c r="M83" s="186"/>
      <c r="N83" s="187"/>
      <c r="O83" s="187"/>
      <c r="P83"/>
      <c r="Q83"/>
      <c r="R83"/>
      <c r="S83"/>
      <c r="T83"/>
    </row>
    <row r="84" spans="1:20" x14ac:dyDescent="0.15">
      <c r="A84" s="212"/>
      <c r="B84" s="183"/>
      <c r="C84" s="183"/>
      <c r="D84" s="183"/>
      <c r="E84" s="183"/>
      <c r="F84" s="183"/>
      <c r="G84" s="183"/>
      <c r="H84" s="183"/>
      <c r="I84" s="183"/>
      <c r="J84" s="183"/>
      <c r="K84" s="183"/>
      <c r="L84" s="183"/>
      <c r="M84" s="183"/>
      <c r="N84" s="183"/>
      <c r="O84" s="183"/>
      <c r="P84"/>
      <c r="Q84"/>
      <c r="R84"/>
      <c r="S84"/>
      <c r="T84"/>
    </row>
    <row r="85" spans="1:20" x14ac:dyDescent="0.15">
      <c r="A85" s="212" t="s">
        <v>80</v>
      </c>
      <c r="B85" s="188">
        <v>0.25</v>
      </c>
      <c r="C85" s="188">
        <v>0.25</v>
      </c>
      <c r="D85" s="188">
        <v>0.22</v>
      </c>
      <c r="E85" s="188">
        <v>0.25</v>
      </c>
      <c r="F85" s="188">
        <v>0.25</v>
      </c>
      <c r="G85" s="188">
        <v>0.25</v>
      </c>
      <c r="H85" s="188">
        <v>0.25</v>
      </c>
      <c r="I85" s="188">
        <v>0.25</v>
      </c>
      <c r="J85" s="186">
        <v>0.26250000000000001</v>
      </c>
      <c r="K85" s="186">
        <v>0.26900000000000002</v>
      </c>
      <c r="L85" s="183"/>
      <c r="M85" s="183"/>
      <c r="N85" s="183"/>
      <c r="O85" s="183"/>
      <c r="P85"/>
      <c r="Q85"/>
      <c r="R85"/>
      <c r="S85"/>
      <c r="T85"/>
    </row>
    <row r="86" spans="1:20" x14ac:dyDescent="0.15">
      <c r="A86" s="212"/>
      <c r="B86" s="183"/>
      <c r="C86" s="183"/>
      <c r="D86" s="183"/>
      <c r="E86" s="183"/>
      <c r="F86" s="183"/>
      <c r="G86" s="183"/>
      <c r="H86" s="183"/>
      <c r="I86" s="183"/>
      <c r="J86" s="183"/>
      <c r="K86" s="183"/>
      <c r="L86" s="183"/>
      <c r="M86" s="183"/>
      <c r="N86" s="183"/>
      <c r="O86" s="183"/>
      <c r="P86"/>
      <c r="Q86"/>
      <c r="R86"/>
      <c r="S86"/>
      <c r="T86"/>
    </row>
    <row r="87" spans="1:20" x14ac:dyDescent="0.15">
      <c r="A87" s="211" t="s">
        <v>10</v>
      </c>
      <c r="B87" s="181">
        <v>2012</v>
      </c>
      <c r="C87" s="181">
        <v>2013</v>
      </c>
      <c r="D87" s="181">
        <v>2014</v>
      </c>
      <c r="E87" s="181">
        <v>2015</v>
      </c>
      <c r="F87" s="181">
        <v>2016</v>
      </c>
      <c r="G87" s="181">
        <v>2017</v>
      </c>
      <c r="H87" s="181">
        <v>2018</v>
      </c>
      <c r="I87" s="181">
        <v>2019</v>
      </c>
      <c r="J87" s="181">
        <v>2020</v>
      </c>
      <c r="K87" s="181">
        <v>2021</v>
      </c>
      <c r="L87" s="181">
        <v>2022</v>
      </c>
      <c r="M87" s="181">
        <v>2023</v>
      </c>
      <c r="N87" s="181">
        <v>2024</v>
      </c>
      <c r="O87" s="181">
        <v>2025</v>
      </c>
      <c r="P87"/>
      <c r="Q87"/>
      <c r="R87"/>
      <c r="S87"/>
      <c r="T87"/>
    </row>
    <row r="88" spans="1:20" x14ac:dyDescent="0.15">
      <c r="A88" s="212" t="s">
        <v>110</v>
      </c>
      <c r="B88" s="183">
        <v>200000</v>
      </c>
      <c r="C88" s="183">
        <v>200000</v>
      </c>
      <c r="D88" s="183">
        <v>200000</v>
      </c>
      <c r="E88" s="183">
        <v>200000</v>
      </c>
      <c r="F88" s="183">
        <v>200000</v>
      </c>
      <c r="G88" s="183">
        <v>200000</v>
      </c>
      <c r="H88" s="183">
        <v>200000</v>
      </c>
      <c r="I88" s="183">
        <v>200000</v>
      </c>
      <c r="J88" s="183">
        <v>200000</v>
      </c>
      <c r="K88" s="183">
        <v>200000</v>
      </c>
      <c r="L88" s="183"/>
      <c r="M88" s="183"/>
      <c r="N88" s="183"/>
      <c r="O88" s="183"/>
      <c r="P88"/>
      <c r="Q88"/>
      <c r="R88"/>
      <c r="S88"/>
      <c r="T88"/>
    </row>
    <row r="89" spans="1:20" x14ac:dyDescent="0.15">
      <c r="A89" s="212" t="s">
        <v>111</v>
      </c>
      <c r="B89" s="188">
        <v>0.2</v>
      </c>
      <c r="C89" s="188">
        <v>0.2</v>
      </c>
      <c r="D89" s="188">
        <v>0.2</v>
      </c>
      <c r="E89" s="188">
        <v>0.2</v>
      </c>
      <c r="F89" s="188">
        <v>0.2</v>
      </c>
      <c r="G89" s="188">
        <v>0.2</v>
      </c>
      <c r="H89" s="188">
        <v>0.2</v>
      </c>
      <c r="I89" s="189">
        <v>0.19</v>
      </c>
      <c r="J89" s="189">
        <v>0.16500000000000001</v>
      </c>
      <c r="K89" s="189">
        <v>0.15</v>
      </c>
      <c r="L89" s="188"/>
      <c r="M89" s="188"/>
      <c r="N89" s="188"/>
      <c r="O89" s="188"/>
      <c r="P89"/>
      <c r="Q89"/>
      <c r="R89"/>
      <c r="S89"/>
      <c r="T89"/>
    </row>
    <row r="90" spans="1:20" x14ac:dyDescent="0.15">
      <c r="A90" s="212" t="s">
        <v>112</v>
      </c>
      <c r="B90" s="188">
        <v>0.25</v>
      </c>
      <c r="C90" s="188">
        <v>0.25</v>
      </c>
      <c r="D90" s="188">
        <v>0.25</v>
      </c>
      <c r="E90" s="188">
        <v>0.25</v>
      </c>
      <c r="F90" s="188">
        <v>0.25</v>
      </c>
      <c r="G90" s="188">
        <v>0.25</v>
      </c>
      <c r="H90" s="188">
        <v>0.25</v>
      </c>
      <c r="I90" s="189">
        <v>0.25</v>
      </c>
      <c r="J90" s="189">
        <v>0.25</v>
      </c>
      <c r="K90" s="189">
        <v>0.217</v>
      </c>
      <c r="L90" s="188"/>
      <c r="M90" s="188"/>
      <c r="N90" s="188"/>
      <c r="O90" s="188"/>
      <c r="P90"/>
      <c r="Q90"/>
      <c r="R90"/>
      <c r="S90"/>
      <c r="T90"/>
    </row>
    <row r="91" spans="1:20" x14ac:dyDescent="0.15">
      <c r="A91" s="212"/>
      <c r="B91" s="183"/>
      <c r="C91" s="183"/>
      <c r="D91" s="183"/>
      <c r="E91" s="183"/>
      <c r="F91" s="183"/>
      <c r="G91" s="183"/>
      <c r="H91" s="183"/>
      <c r="I91" s="183"/>
      <c r="J91" s="183"/>
      <c r="K91" s="183"/>
      <c r="L91" s="183"/>
      <c r="M91" s="183"/>
      <c r="N91" s="183"/>
      <c r="O91" s="183"/>
      <c r="P91"/>
      <c r="Q91"/>
      <c r="R91"/>
      <c r="S91"/>
      <c r="T91"/>
    </row>
    <row r="92" spans="1:20" x14ac:dyDescent="0.15">
      <c r="A92" s="211" t="s">
        <v>113</v>
      </c>
      <c r="B92" s="190">
        <f>IF(B79=TRUE,934,2001)</f>
        <v>2001</v>
      </c>
      <c r="C92" s="190">
        <f>IF(C79=TRUE,1034,2033)</f>
        <v>2033</v>
      </c>
      <c r="D92" s="190">
        <f>IF(D79=TRUE,1065,2103)</f>
        <v>2103</v>
      </c>
      <c r="E92" s="190">
        <f>IF(E79=TRUE,1123,2203)</f>
        <v>2203</v>
      </c>
      <c r="F92" s="190">
        <f>IF(F79=TRUE,1145,2242)</f>
        <v>2242</v>
      </c>
      <c r="G92" s="190">
        <f>IF(G79=TRUE,1151,2254)</f>
        <v>2254</v>
      </c>
      <c r="H92" s="190">
        <f>IF(H79=TRUE,1157,2265)</f>
        <v>2265</v>
      </c>
      <c r="I92" s="190">
        <f>IF(I79=TRUE,1268,2477)</f>
        <v>2477</v>
      </c>
      <c r="J92" s="190">
        <f>IF(J79=TRUE,1413,2711)</f>
        <v>2711</v>
      </c>
      <c r="K92" s="190">
        <f>IF(K79=TRUE,1453,2801)</f>
        <v>2801</v>
      </c>
      <c r="L92" s="190"/>
      <c r="M92" s="190"/>
      <c r="N92" s="191"/>
      <c r="O92" s="191"/>
      <c r="P92"/>
      <c r="Q92"/>
      <c r="R92"/>
      <c r="S92"/>
      <c r="T92"/>
    </row>
    <row r="93" spans="1:20" x14ac:dyDescent="0.15">
      <c r="A93" s="212" t="s">
        <v>114</v>
      </c>
      <c r="B93" s="192">
        <v>0</v>
      </c>
      <c r="C93" s="192">
        <v>0</v>
      </c>
      <c r="D93" s="193">
        <f>IF(D79=TRUE,2%,2%)</f>
        <v>0.02</v>
      </c>
      <c r="E93" s="193">
        <f>IF(E79=TRUE,1.183%,2.32%)</f>
        <v>2.3199999999999998E-2</v>
      </c>
      <c r="F93" s="193">
        <f>IF(F79=TRUE,2.46%,4.822%)</f>
        <v>4.8219999999999999E-2</v>
      </c>
      <c r="G93" s="193">
        <f>IF(G79=TRUE,2.443%,4.787%)</f>
        <v>4.7869999999999996E-2</v>
      </c>
      <c r="H93" s="193">
        <f>IF(H79=TRUE,2.389%,4.683%)</f>
        <v>4.6829999999999997E-2</v>
      </c>
      <c r="I93" s="193">
        <f>IF(I79=TRUE,2.633%,5.147%)</f>
        <v>5.1470000000000002E-2</v>
      </c>
      <c r="J93" s="193">
        <f>IF(J79=TRUE,2.954%,5.672%)</f>
        <v>5.672E-2</v>
      </c>
      <c r="K93" s="193">
        <f>IF(K79=TRUE,3.054%,5.888%)</f>
        <v>5.8880000000000002E-2</v>
      </c>
      <c r="L93" s="186"/>
      <c r="M93" s="186"/>
      <c r="N93" s="186"/>
      <c r="O93" s="186"/>
      <c r="P93"/>
      <c r="Q93"/>
      <c r="R93"/>
      <c r="S93"/>
      <c r="T93"/>
    </row>
    <row r="94" spans="1:20" x14ac:dyDescent="0.15">
      <c r="A94" s="212" t="s">
        <v>115</v>
      </c>
      <c r="B94" s="194">
        <f>B92</f>
        <v>2001</v>
      </c>
      <c r="C94" s="194">
        <f>C92</f>
        <v>2033</v>
      </c>
      <c r="D94" s="195">
        <f>IF(D79=TRUE,693,1366)</f>
        <v>1366</v>
      </c>
      <c r="E94" s="195">
        <f>IF(E79=TRUE,685,1342)</f>
        <v>1342</v>
      </c>
      <c r="F94" s="195">
        <v>0</v>
      </c>
      <c r="G94" s="195">
        <v>0</v>
      </c>
      <c r="H94" s="195">
        <v>0</v>
      </c>
      <c r="I94" s="195">
        <v>0</v>
      </c>
      <c r="J94" s="195">
        <v>0</v>
      </c>
      <c r="K94" s="195">
        <v>0</v>
      </c>
      <c r="L94" s="194"/>
      <c r="M94" s="194"/>
      <c r="N94" s="194"/>
      <c r="O94" s="194"/>
      <c r="P94"/>
      <c r="Q94"/>
      <c r="R94"/>
      <c r="S94"/>
      <c r="T94"/>
    </row>
    <row r="95" spans="1:20" x14ac:dyDescent="0.15">
      <c r="A95" s="212"/>
      <c r="B95" s="186"/>
      <c r="C95" s="183"/>
      <c r="D95" s="196"/>
      <c r="E95" s="197"/>
      <c r="F95" s="197"/>
      <c r="G95" s="183"/>
      <c r="H95" s="183"/>
      <c r="I95" s="183"/>
      <c r="J95" s="183"/>
      <c r="K95" s="186"/>
      <c r="L95" s="183"/>
      <c r="M95" s="196"/>
      <c r="N95" s="197"/>
      <c r="O95" s="197"/>
      <c r="P95"/>
      <c r="Q95"/>
      <c r="R95"/>
      <c r="S95"/>
      <c r="T95"/>
    </row>
    <row r="96" spans="1:20" x14ac:dyDescent="0.15">
      <c r="A96" s="211" t="s">
        <v>64</v>
      </c>
      <c r="B96" s="181">
        <v>2012</v>
      </c>
      <c r="C96" s="181">
        <v>2013</v>
      </c>
      <c r="D96" s="181">
        <v>2014</v>
      </c>
      <c r="E96" s="181">
        <v>2015</v>
      </c>
      <c r="F96" s="181">
        <v>2016</v>
      </c>
      <c r="G96" s="181">
        <v>2017</v>
      </c>
      <c r="H96" s="181">
        <v>2018</v>
      </c>
      <c r="I96" s="181">
        <v>2019</v>
      </c>
      <c r="J96" s="181">
        <v>2020</v>
      </c>
      <c r="K96" s="181">
        <v>2021</v>
      </c>
      <c r="L96" s="181">
        <v>2022</v>
      </c>
      <c r="M96" s="181">
        <v>2023</v>
      </c>
      <c r="N96" s="181">
        <v>2024</v>
      </c>
      <c r="O96" s="181">
        <v>2025</v>
      </c>
      <c r="P96"/>
      <c r="Q96"/>
      <c r="R96"/>
      <c r="S96"/>
      <c r="T96"/>
    </row>
    <row r="97" spans="1:20" x14ac:dyDescent="0.15">
      <c r="A97" s="212" t="s">
        <v>76</v>
      </c>
      <c r="B97" s="194">
        <v>9295</v>
      </c>
      <c r="C97" s="194">
        <v>8816</v>
      </c>
      <c r="D97" s="194">
        <v>8913</v>
      </c>
      <c r="E97" s="198">
        <v>9010</v>
      </c>
      <c r="F97" s="198">
        <v>9147</v>
      </c>
      <c r="G97" s="194">
        <v>9309</v>
      </c>
      <c r="H97" s="194">
        <v>9468</v>
      </c>
      <c r="I97" s="194">
        <v>9694</v>
      </c>
      <c r="J97" s="194">
        <v>9921</v>
      </c>
      <c r="K97" s="199">
        <v>9922</v>
      </c>
      <c r="L97" s="194"/>
      <c r="M97" s="194"/>
      <c r="N97" s="198"/>
      <c r="O97" s="198"/>
      <c r="P97"/>
      <c r="Q97"/>
      <c r="R97"/>
      <c r="S97"/>
      <c r="T97"/>
    </row>
    <row r="98" spans="1:20" x14ac:dyDescent="0.15">
      <c r="A98" s="212" t="s">
        <v>77</v>
      </c>
      <c r="B98" s="194">
        <v>21059</v>
      </c>
      <c r="C98" s="194">
        <v>18502</v>
      </c>
      <c r="D98" s="194">
        <v>19248</v>
      </c>
      <c r="E98" s="194">
        <v>19463</v>
      </c>
      <c r="F98" s="194">
        <v>19758</v>
      </c>
      <c r="G98" s="194">
        <v>20108</v>
      </c>
      <c r="H98" s="194">
        <v>20450</v>
      </c>
      <c r="I98" s="194">
        <v>20940</v>
      </c>
      <c r="J98" s="194">
        <v>21430</v>
      </c>
      <c r="K98" s="199">
        <f>K74</f>
        <v>20939</v>
      </c>
      <c r="L98" s="194">
        <f t="shared" ref="L98:O98" si="1">L74</f>
        <v>0</v>
      </c>
      <c r="M98" s="194">
        <f t="shared" si="1"/>
        <v>0</v>
      </c>
      <c r="N98" s="194">
        <f t="shared" si="1"/>
        <v>0</v>
      </c>
      <c r="O98" s="194">
        <f t="shared" si="1"/>
        <v>0</v>
      </c>
      <c r="P98"/>
      <c r="Q98"/>
      <c r="R98"/>
      <c r="S98"/>
      <c r="T98"/>
    </row>
    <row r="99" spans="1:20" x14ac:dyDescent="0.15">
      <c r="A99" s="212" t="s">
        <v>78</v>
      </c>
      <c r="B99" s="190">
        <v>45181</v>
      </c>
      <c r="C99" s="190">
        <v>40248</v>
      </c>
      <c r="D99" s="190">
        <v>40721</v>
      </c>
      <c r="E99" s="191">
        <v>49770</v>
      </c>
      <c r="F99" s="191">
        <v>34015</v>
      </c>
      <c r="G99" s="194">
        <v>32444</v>
      </c>
      <c r="H99" s="190">
        <v>33112</v>
      </c>
      <c r="I99" s="190">
        <v>34060</v>
      </c>
      <c r="J99" s="190">
        <v>34954</v>
      </c>
      <c r="K99" s="213">
        <v>34955</v>
      </c>
      <c r="L99" s="190"/>
      <c r="M99" s="190"/>
      <c r="N99" s="191"/>
      <c r="O99" s="191"/>
      <c r="P99"/>
      <c r="Q99"/>
      <c r="R99"/>
      <c r="S99"/>
      <c r="T99"/>
    </row>
    <row r="100" spans="1:20" x14ac:dyDescent="0.15">
      <c r="A100" s="212" t="s">
        <v>79</v>
      </c>
      <c r="B100" s="194">
        <v>514.17999999999995</v>
      </c>
      <c r="C100" s="194">
        <v>69573</v>
      </c>
      <c r="D100" s="194">
        <v>83971</v>
      </c>
      <c r="E100" s="194">
        <v>100670</v>
      </c>
      <c r="F100" s="194">
        <v>111590</v>
      </c>
      <c r="G100" s="194">
        <v>121972</v>
      </c>
      <c r="H100" s="194">
        <v>123362</v>
      </c>
      <c r="I100" s="194">
        <v>90710</v>
      </c>
      <c r="J100" s="194">
        <f>(J107/J105)+J99</f>
        <v>98604</v>
      </c>
      <c r="K100" s="199">
        <f>(K107/K105)+K99</f>
        <v>104005</v>
      </c>
      <c r="L100" s="194"/>
      <c r="M100" s="194"/>
      <c r="N100" s="194"/>
      <c r="O100" s="194"/>
      <c r="P100"/>
      <c r="Q100"/>
      <c r="R100"/>
      <c r="S100"/>
      <c r="T100"/>
    </row>
    <row r="101" spans="1:20" x14ac:dyDescent="0.15">
      <c r="A101" s="212"/>
      <c r="B101" s="183"/>
      <c r="C101" s="183"/>
      <c r="D101" s="186"/>
      <c r="E101" s="183"/>
      <c r="F101" s="196"/>
      <c r="G101" s="197"/>
      <c r="H101" s="197"/>
      <c r="I101" s="183"/>
      <c r="J101" s="183"/>
      <c r="K101" s="183"/>
      <c r="L101" s="183"/>
      <c r="M101" s="186"/>
      <c r="N101" s="183"/>
      <c r="O101" s="196"/>
      <c r="P101"/>
      <c r="Q101"/>
      <c r="R101"/>
      <c r="S101"/>
      <c r="T101"/>
    </row>
    <row r="102" spans="1:20" x14ac:dyDescent="0.15">
      <c r="A102" s="212" t="s">
        <v>106</v>
      </c>
      <c r="B102" s="183">
        <f>IF(B79=TRUE,0.796%,1.733%)</f>
        <v>1.7330000000000002E-2</v>
      </c>
      <c r="C102" s="183">
        <f>IF(C79=TRUE,0.943%,1.827%)</f>
        <v>1.8269999999999998E-2</v>
      </c>
      <c r="D102" s="183">
        <f>IF(D79=TRUE,0.915%,1.807%)</f>
        <v>1.8069999999999999E-2</v>
      </c>
      <c r="E102" s="183">
        <f>IF(E79=TRUE,0.922%,1.81%)</f>
        <v>1.8100000000000002E-2</v>
      </c>
      <c r="F102" s="183">
        <f>IF(F79=TRUE,0.915%,1.793%)</f>
        <v>1.7929999999999998E-2</v>
      </c>
      <c r="G102" s="183">
        <f>IF(G79=TRUE,0.904%,1.772%)</f>
        <v>1.772E-2</v>
      </c>
      <c r="H102" s="183">
        <f>IF(H79=TRUE,0.901%,1.764%)</f>
        <v>1.7639999999999999E-2</v>
      </c>
      <c r="I102" s="183">
        <f>IF(I79=TRUE,0.898%,1.754%)</f>
        <v>1.754E-2</v>
      </c>
      <c r="J102" s="183">
        <f>IF(J79=TRUE,1.464%,2.812%)</f>
        <v>2.8119999999999999E-2</v>
      </c>
      <c r="K102" s="96">
        <f>IF(K79=TRUE,1.464%,2.812%)</f>
        <v>2.8119999999999999E-2</v>
      </c>
      <c r="L102" s="183"/>
      <c r="M102" s="186"/>
      <c r="N102" s="183"/>
      <c r="O102" s="196"/>
      <c r="P102"/>
      <c r="Q102"/>
      <c r="R102"/>
      <c r="S102"/>
      <c r="T102"/>
    </row>
    <row r="103" spans="1:20" x14ac:dyDescent="0.15">
      <c r="A103" s="212" t="s">
        <v>107</v>
      </c>
      <c r="B103" s="183">
        <f>IF(B79=TRUE,5.657%,12.32%)</f>
        <v>0.1232</v>
      </c>
      <c r="C103" s="183">
        <f>IF(C79=TRUE,8.319%,16.115%)</f>
        <v>0.16114999999999999</v>
      </c>
      <c r="D103" s="183">
        <f>IF(D79=TRUE,9.479%,18.724%)</f>
        <v>0.18723999999999999</v>
      </c>
      <c r="E103" s="183">
        <f>IF(E79=TRUE,10.028%,19.679%)</f>
        <v>0.19678999999999999</v>
      </c>
      <c r="F103" s="183">
        <f>IF(F79=TRUE,14.133%,27.698%)</f>
        <v>0.27698</v>
      </c>
      <c r="G103" s="183">
        <f>IF(G79=TRUE,14.449%,28.317%)</f>
        <v>0.28316999999999998</v>
      </c>
      <c r="H103" s="183">
        <f>IF(H79=TRUE,14.32%,28.064%)</f>
        <v>0.28064</v>
      </c>
      <c r="I103" s="183">
        <f>IF(I79=TRUE,14.689%,28.712%)</f>
        <v>0.28711999999999999</v>
      </c>
      <c r="J103" s="183">
        <f>IF(J79=TRUE,15.004%,28.812%)</f>
        <v>0.28811999999999999</v>
      </c>
      <c r="K103" s="96">
        <f>IF(K79=TRUE,15.004%,28.812%)</f>
        <v>0.28811999999999999</v>
      </c>
      <c r="L103" s="183"/>
      <c r="M103" s="186"/>
      <c r="N103" s="183"/>
      <c r="O103" s="196"/>
      <c r="P103"/>
      <c r="Q103"/>
      <c r="R103"/>
      <c r="S103"/>
      <c r="T103"/>
    </row>
    <row r="104" spans="1:20" x14ac:dyDescent="0.15">
      <c r="A104" s="212" t="s">
        <v>108</v>
      </c>
      <c r="B104" s="183">
        <v>0</v>
      </c>
      <c r="C104" s="183">
        <v>0</v>
      </c>
      <c r="D104" s="183">
        <v>0</v>
      </c>
      <c r="E104" s="183">
        <v>0</v>
      </c>
      <c r="F104" s="183">
        <v>0</v>
      </c>
      <c r="G104" s="183">
        <v>0</v>
      </c>
      <c r="H104" s="183">
        <v>0</v>
      </c>
      <c r="I104" s="183">
        <v>0</v>
      </c>
      <c r="J104" s="183">
        <f>IF(J79=TRUE,0.862%,1.656%)</f>
        <v>1.6559999999999998E-2</v>
      </c>
      <c r="K104" s="96">
        <f>IF(K79=TRUE,0.862%,1.656%)</f>
        <v>1.6559999999999998E-2</v>
      </c>
      <c r="L104" s="183"/>
      <c r="M104" s="183"/>
      <c r="N104" s="183"/>
      <c r="O104" s="183"/>
      <c r="P104"/>
      <c r="Q104"/>
      <c r="R104"/>
      <c r="S104"/>
      <c r="T104"/>
    </row>
    <row r="105" spans="1:20" x14ac:dyDescent="0.15">
      <c r="A105" s="212" t="s">
        <v>109</v>
      </c>
      <c r="B105" s="183">
        <f>IF(B79=TRUE,0.574%,1.25%)</f>
        <v>1.2500000000000001E-2</v>
      </c>
      <c r="C105" s="183">
        <f>IF(C79=TRUE,2.064%,4%)</f>
        <v>0.04</v>
      </c>
      <c r="D105" s="183">
        <f>IF(D79=TRUE,2.025%,4%)</f>
        <v>0.04</v>
      </c>
      <c r="E105" s="183">
        <f>IF(E79=TRUE,2.038%,4%)</f>
        <v>0.04</v>
      </c>
      <c r="F105" s="183">
        <f>IF(F79=TRUE,2.041%,4%)</f>
        <v>0.04</v>
      </c>
      <c r="G105" s="183">
        <f>IF(G79=TRUE,1.837%,3.6%)</f>
        <v>3.6000000000000004E-2</v>
      </c>
      <c r="H105" s="183">
        <f>IF(H79=TRUE,1.837%,3.6%)</f>
        <v>3.6000000000000004E-2</v>
      </c>
      <c r="I105" s="183">
        <f>IF(I79=TRUE,3.069%,6%)</f>
        <v>0.06</v>
      </c>
      <c r="J105" s="183">
        <f>IF(J79=TRUE,3.124%,6%)</f>
        <v>0.06</v>
      </c>
      <c r="K105" s="96">
        <f>IF(K79=TRUE,3.124%,6%)</f>
        <v>0.06</v>
      </c>
      <c r="L105" s="183"/>
      <c r="M105" s="183"/>
      <c r="N105" s="183"/>
      <c r="O105" s="183"/>
      <c r="P105"/>
      <c r="Q105"/>
      <c r="R105"/>
      <c r="S105"/>
      <c r="T105"/>
    </row>
    <row r="106" spans="1:20" x14ac:dyDescent="0.15">
      <c r="A106" s="211"/>
      <c r="B106" s="200"/>
      <c r="C106" s="200"/>
      <c r="D106" s="200"/>
      <c r="E106" s="200"/>
      <c r="F106" s="200"/>
      <c r="G106" s="201"/>
      <c r="H106" s="201"/>
      <c r="I106" s="183"/>
      <c r="J106" s="200"/>
      <c r="K106" s="200"/>
      <c r="L106" s="200"/>
      <c r="M106" s="200"/>
      <c r="N106" s="200"/>
      <c r="O106" s="200"/>
      <c r="P106"/>
      <c r="Q106"/>
      <c r="R106"/>
      <c r="S106"/>
      <c r="T106"/>
    </row>
    <row r="107" spans="1:20" x14ac:dyDescent="0.15">
      <c r="A107" s="212" t="s">
        <v>116</v>
      </c>
      <c r="B107" s="183">
        <f>IF(B79=TRUE,740,1611)</f>
        <v>1611</v>
      </c>
      <c r="C107" s="183">
        <f>IF(C79=TRUE,890,1723)</f>
        <v>1723</v>
      </c>
      <c r="D107" s="183">
        <f>IF(D79=TRUE,1062,2097)</f>
        <v>2097</v>
      </c>
      <c r="E107" s="183">
        <f>IF(E79=TRUE,1132,2220)</f>
        <v>2220</v>
      </c>
      <c r="F107" s="183">
        <f>IF(F79=TRUE,1585,3103)</f>
        <v>3103</v>
      </c>
      <c r="G107" s="183">
        <f>IF(G79=TRUE,1645,3223)</f>
        <v>3223</v>
      </c>
      <c r="H107" s="183">
        <f>IF(H79=TRUE,1659,3249)</f>
        <v>3249</v>
      </c>
      <c r="I107" s="183">
        <f>IF(I79=TRUE,1745,3399)</f>
        <v>3399</v>
      </c>
      <c r="J107" s="183">
        <f>IF(J79=TRUE,1989,3819)</f>
        <v>3819</v>
      </c>
      <c r="K107" s="183">
        <f>IF(K79=TRUE,2147,4143)</f>
        <v>4143</v>
      </c>
      <c r="L107" s="183"/>
      <c r="M107" s="186"/>
      <c r="N107" s="183"/>
      <c r="O107" s="196"/>
      <c r="P107"/>
      <c r="Q107"/>
      <c r="R107"/>
      <c r="S107"/>
      <c r="T107"/>
    </row>
    <row r="108" spans="1:20" x14ac:dyDescent="0.15">
      <c r="A108" s="212" t="s">
        <v>117</v>
      </c>
      <c r="B108" s="183">
        <f>IF(B79=TRUE,704,740)</f>
        <v>740</v>
      </c>
      <c r="C108" s="183">
        <f>IF(C79=TRUE,284,550)</f>
        <v>550</v>
      </c>
      <c r="D108" s="183">
        <f>IF(D79=TRUE,186,367)</f>
        <v>367</v>
      </c>
      <c r="E108" s="183">
        <f>IF(E79=TRUE,94,184)</f>
        <v>184</v>
      </c>
      <c r="F108" s="183">
        <v>0</v>
      </c>
      <c r="G108" s="183">
        <v>0</v>
      </c>
      <c r="H108" s="183">
        <v>0</v>
      </c>
      <c r="I108" s="183">
        <v>0</v>
      </c>
      <c r="J108" s="183">
        <v>0</v>
      </c>
      <c r="K108" s="183">
        <v>0</v>
      </c>
      <c r="L108" s="183"/>
      <c r="M108" s="186"/>
      <c r="N108" s="183"/>
      <c r="O108" s="196"/>
      <c r="P108"/>
      <c r="Q108"/>
      <c r="R108"/>
      <c r="S108"/>
      <c r="T108"/>
    </row>
    <row r="109" spans="1:20" x14ac:dyDescent="0.15">
      <c r="A109" s="212"/>
      <c r="B109" s="183"/>
      <c r="C109" s="183"/>
      <c r="D109" s="186"/>
      <c r="E109" s="183"/>
      <c r="F109" s="196"/>
      <c r="G109" s="197"/>
      <c r="H109" s="197"/>
      <c r="I109" s="183"/>
      <c r="J109" s="183"/>
      <c r="K109" s="183"/>
      <c r="L109" s="183"/>
      <c r="M109" s="186"/>
      <c r="N109" s="183"/>
      <c r="O109" s="196"/>
      <c r="P109"/>
      <c r="Q109"/>
      <c r="R109"/>
      <c r="S109"/>
      <c r="T109"/>
    </row>
    <row r="110" spans="1:20" x14ac:dyDescent="0.15">
      <c r="A110" s="211" t="s">
        <v>87</v>
      </c>
      <c r="B110" s="119">
        <v>0</v>
      </c>
      <c r="C110" s="119">
        <v>0</v>
      </c>
      <c r="D110" s="119">
        <v>5.0000000000000001E-3</v>
      </c>
      <c r="E110" s="119">
        <v>0.01</v>
      </c>
      <c r="F110" s="119">
        <v>1.4999999999999999E-2</v>
      </c>
      <c r="G110" s="119">
        <v>0.02</v>
      </c>
      <c r="H110" s="90">
        <v>2.4500000000000001E-2</v>
      </c>
      <c r="I110" s="90">
        <v>2.75E-2</v>
      </c>
      <c r="J110" s="90">
        <v>3.5000000000000003E-2</v>
      </c>
      <c r="K110" s="177">
        <v>6.5000000000000002E-2</v>
      </c>
      <c r="L110" s="119">
        <v>4.4999999999999998E-2</v>
      </c>
      <c r="M110" s="119">
        <v>0.05</v>
      </c>
      <c r="N110" s="119">
        <v>5.5E-2</v>
      </c>
      <c r="O110" s="119">
        <v>0.06</v>
      </c>
      <c r="P110"/>
      <c r="Q110"/>
      <c r="R110"/>
      <c r="S110"/>
      <c r="T110"/>
    </row>
    <row r="111" spans="1:20" x14ac:dyDescent="0.15">
      <c r="A111" s="212"/>
      <c r="B111" s="119"/>
      <c r="C111" s="119"/>
      <c r="D111" s="119"/>
      <c r="E111" s="119"/>
      <c r="F111" s="119"/>
      <c r="G111" s="119"/>
      <c r="H111" s="90"/>
      <c r="I111" s="119">
        <v>0</v>
      </c>
      <c r="J111" s="90">
        <v>3.5000000000000003E-2</v>
      </c>
      <c r="K111" s="177">
        <v>6.5000000000000002E-2</v>
      </c>
      <c r="L111" s="119"/>
      <c r="M111" s="119"/>
      <c r="N111" s="119"/>
      <c r="O111" s="119"/>
      <c r="P111"/>
      <c r="Q111"/>
      <c r="R111"/>
      <c r="S111"/>
      <c r="T111"/>
    </row>
    <row r="112" spans="1:20" x14ac:dyDescent="0.15">
      <c r="A112" s="212"/>
      <c r="B112" s="119"/>
      <c r="C112" s="119"/>
      <c r="D112" s="119"/>
      <c r="E112" s="119"/>
      <c r="F112" s="119"/>
      <c r="G112" s="119"/>
      <c r="H112" s="90"/>
      <c r="I112" s="119"/>
      <c r="J112" s="90"/>
      <c r="K112" s="90"/>
      <c r="L112" s="119"/>
      <c r="M112" s="119"/>
      <c r="N112" s="119"/>
      <c r="O112" s="119"/>
      <c r="P112"/>
      <c r="Q112"/>
      <c r="R112"/>
      <c r="S112"/>
      <c r="T112"/>
    </row>
    <row r="113" spans="1:20" x14ac:dyDescent="0.15">
      <c r="A113" s="211" t="s">
        <v>91</v>
      </c>
      <c r="B113" s="181">
        <v>2012</v>
      </c>
      <c r="C113" s="181">
        <v>2013</v>
      </c>
      <c r="D113" s="181">
        <v>2014</v>
      </c>
      <c r="E113" s="181">
        <v>2015</v>
      </c>
      <c r="F113" s="181">
        <v>2016</v>
      </c>
      <c r="G113" s="181">
        <v>2017</v>
      </c>
      <c r="H113" s="181">
        <v>2018</v>
      </c>
      <c r="I113" s="181">
        <v>2019</v>
      </c>
      <c r="J113" s="181">
        <v>2020</v>
      </c>
      <c r="K113" s="181">
        <v>2021</v>
      </c>
      <c r="L113" s="181">
        <v>2022</v>
      </c>
      <c r="M113" s="181">
        <v>2023</v>
      </c>
      <c r="N113" s="181">
        <v>2024</v>
      </c>
      <c r="O113" s="181">
        <v>2025</v>
      </c>
      <c r="P113"/>
      <c r="Q113"/>
      <c r="R113"/>
      <c r="S113"/>
      <c r="T113"/>
    </row>
    <row r="114" spans="1:20" x14ac:dyDescent="0.15">
      <c r="A114" s="212" t="s">
        <v>76</v>
      </c>
      <c r="B114" s="183">
        <v>4814</v>
      </c>
      <c r="C114" s="183">
        <v>4814</v>
      </c>
      <c r="D114" s="183">
        <v>4814</v>
      </c>
      <c r="E114" s="183">
        <v>4857</v>
      </c>
      <c r="F114" s="183">
        <v>4881</v>
      </c>
      <c r="G114" s="183">
        <v>4895</v>
      </c>
      <c r="H114" s="183">
        <v>4934</v>
      </c>
      <c r="I114" s="183">
        <v>4993</v>
      </c>
      <c r="J114" s="183">
        <v>5072</v>
      </c>
      <c r="K114" s="183">
        <v>5142</v>
      </c>
      <c r="L114" s="183"/>
      <c r="M114" s="183"/>
      <c r="N114" s="183"/>
      <c r="O114" s="183"/>
      <c r="P114"/>
      <c r="Q114"/>
      <c r="R114"/>
      <c r="S114"/>
      <c r="T114"/>
    </row>
    <row r="115" spans="1:20" x14ac:dyDescent="0.15">
      <c r="A115" s="212" t="s">
        <v>77</v>
      </c>
      <c r="B115" s="183">
        <v>32539</v>
      </c>
      <c r="C115" s="183">
        <v>32539</v>
      </c>
      <c r="D115" s="183">
        <v>32539</v>
      </c>
      <c r="E115" s="183">
        <v>32832</v>
      </c>
      <c r="F115" s="183">
        <v>32969</v>
      </c>
      <c r="G115" s="183">
        <v>33065</v>
      </c>
      <c r="H115" s="183">
        <v>33331</v>
      </c>
      <c r="I115" s="183">
        <v>29753</v>
      </c>
      <c r="J115" s="183">
        <v>30234</v>
      </c>
      <c r="K115" s="96">
        <v>33331</v>
      </c>
      <c r="L115" s="183"/>
      <c r="M115" s="183"/>
      <c r="N115" s="183"/>
      <c r="O115" s="183"/>
      <c r="P115"/>
      <c r="Q115"/>
      <c r="R115"/>
      <c r="S115"/>
      <c r="T115"/>
    </row>
    <row r="116" spans="1:20" x14ac:dyDescent="0.15">
      <c r="A116" s="212" t="s">
        <v>118</v>
      </c>
      <c r="B116" s="120">
        <f>IF(B79=TRUE,1.837%,4%)</f>
        <v>0.04</v>
      </c>
      <c r="C116" s="120">
        <f>IF(C79=TRUE,2.064%,4%)</f>
        <v>0.04</v>
      </c>
      <c r="D116" s="120">
        <f>IF(D79=TRUE,2.038%,4%)</f>
        <v>0.04</v>
      </c>
      <c r="E116" s="120">
        <f>IF(E79=TRUE,2.037%,4%)</f>
        <v>0.04</v>
      </c>
      <c r="F116" s="120">
        <f>IF(F79=TRUE,3.143%,6.159%)</f>
        <v>6.1589999999999999E-2</v>
      </c>
      <c r="G116" s="120">
        <f>IF(G79=TRUE,3.143%,6.159%)</f>
        <v>6.1589999999999999E-2</v>
      </c>
      <c r="H116" s="120">
        <f>IF(H79=TRUE,3.143%,6.159%)</f>
        <v>6.1589999999999999E-2</v>
      </c>
      <c r="I116" s="120">
        <f>IF(I79=TRUE,5.86%,11.45%)</f>
        <v>0.11449999999999999</v>
      </c>
      <c r="J116" s="120">
        <f>IF(J79=TRUE,5.963%,11.45%)</f>
        <v>0.11449999999999999</v>
      </c>
      <c r="K116" s="178">
        <f>IF(K79=TRUE,5.963%,11.45%)</f>
        <v>0.11449999999999999</v>
      </c>
      <c r="L116" s="122"/>
      <c r="M116" s="122"/>
      <c r="N116" s="122"/>
      <c r="O116" s="122"/>
      <c r="P116"/>
      <c r="Q116"/>
      <c r="R116"/>
      <c r="S116"/>
      <c r="T116"/>
    </row>
    <row r="117" spans="1:20" x14ac:dyDescent="0.15">
      <c r="A117" s="212" t="s">
        <v>83</v>
      </c>
      <c r="B117" s="183">
        <f>IF($B$37=TRUE,IF(B79=TRUE,471,1024),0)</f>
        <v>1024</v>
      </c>
      <c r="C117" s="183">
        <f>IF($B$37=TRUE,IF(C79=TRUE,529,1024),0)</f>
        <v>1024</v>
      </c>
      <c r="D117" s="183">
        <f>IF($B$37=TRUE,IF(D79=TRUE,528,1024),0)</f>
        <v>1024</v>
      </c>
      <c r="E117" s="183">
        <f>IF($B$37=TRUE,IF(E79=TRUE,528,1033),0)</f>
        <v>1033</v>
      </c>
      <c r="F117" s="183">
        <f>IF($B$37=TRUE,IF(F79=TRUE,531,1039),0)</f>
        <v>1039</v>
      </c>
      <c r="G117" s="183">
        <f>IF($B$37=TRUE,IF(G79=TRUE,533,1043),0)</f>
        <v>1043</v>
      </c>
      <c r="H117" s="183">
        <f>IF($B$37=TRUE,IF(H79=TRUE,537,1052),0)</f>
        <v>1052</v>
      </c>
      <c r="I117" s="183">
        <f>IF($B$37=TRUE,IF(I79=TRUE,0,0),0)</f>
        <v>0</v>
      </c>
      <c r="J117" s="183">
        <f>IF($B$37=TRUE,IF(J79=TRUE,0,0),0)</f>
        <v>0</v>
      </c>
      <c r="K117" s="96">
        <f>IF($B$37=TRUE,IF(K79=TRUE,0,0),0)</f>
        <v>0</v>
      </c>
      <c r="L117" s="183"/>
      <c r="M117" s="186"/>
      <c r="N117" s="183"/>
      <c r="O117" s="196"/>
      <c r="P117"/>
      <c r="Q117"/>
      <c r="R117"/>
      <c r="S117"/>
      <c r="T117"/>
    </row>
    <row r="118" spans="1:20" x14ac:dyDescent="0.15">
      <c r="A118" s="212" t="s">
        <v>82</v>
      </c>
      <c r="B118" s="183">
        <f>IF(B79=TRUE,980,2133)</f>
        <v>2133</v>
      </c>
      <c r="C118" s="183">
        <f>IF(C79=TRUE,1102,2133)</f>
        <v>2133</v>
      </c>
      <c r="D118" s="183">
        <f>IF(D79=TRUE,1081,2133)</f>
        <v>2133</v>
      </c>
      <c r="E118" s="183">
        <f>IF(E79=TRUE,1098,2152)</f>
        <v>2152</v>
      </c>
      <c r="F118" s="183">
        <f>IF(F79=TRUE,1413,2769)</f>
        <v>2769</v>
      </c>
      <c r="G118" s="183">
        <f>IF(G79=TRUE,1418,2778)</f>
        <v>2778</v>
      </c>
      <c r="H118" s="183">
        <f>IF(H79=TRUE,1431,2801)</f>
        <v>2801</v>
      </c>
      <c r="I118" s="183">
        <f>IF(I79=TRUE,1452,2835)</f>
        <v>2835</v>
      </c>
      <c r="J118" s="183">
        <f>IF(J79=TRUE,1452,2881)</f>
        <v>2881</v>
      </c>
      <c r="K118" s="183">
        <f>IF(K79=TRUE,1452,2881)</f>
        <v>2881</v>
      </c>
      <c r="L118" s="183"/>
      <c r="M118" s="186"/>
      <c r="N118" s="183"/>
      <c r="O118" s="196"/>
      <c r="P118"/>
      <c r="Q118"/>
      <c r="R118"/>
      <c r="S118"/>
      <c r="T118"/>
    </row>
    <row r="119" spans="1:20" x14ac:dyDescent="0.15">
      <c r="A119" s="212"/>
      <c r="B119" s="183"/>
      <c r="C119" s="183"/>
      <c r="D119" s="186"/>
      <c r="E119" s="183"/>
      <c r="F119" s="196"/>
      <c r="G119" s="197"/>
      <c r="H119" s="197"/>
      <c r="I119" s="183"/>
      <c r="J119" s="183"/>
      <c r="K119" s="183"/>
      <c r="L119" s="183"/>
      <c r="M119" s="186"/>
      <c r="N119" s="183"/>
      <c r="O119" s="196"/>
      <c r="P119"/>
      <c r="Q119"/>
      <c r="R119"/>
      <c r="S119"/>
      <c r="T119"/>
    </row>
    <row r="120" spans="1:20" x14ac:dyDescent="0.15">
      <c r="A120" s="181" t="s">
        <v>119</v>
      </c>
      <c r="B120" s="181">
        <v>2012</v>
      </c>
      <c r="C120" s="181">
        <v>2013</v>
      </c>
      <c r="D120" s="181">
        <v>2014</v>
      </c>
      <c r="E120" s="181">
        <v>2015</v>
      </c>
      <c r="F120" s="181">
        <v>2016</v>
      </c>
      <c r="G120" s="181">
        <v>2017</v>
      </c>
      <c r="H120" s="181">
        <v>2018</v>
      </c>
      <c r="I120" s="181">
        <v>2019</v>
      </c>
      <c r="J120" s="181">
        <v>2020</v>
      </c>
      <c r="K120" s="181">
        <v>2021</v>
      </c>
      <c r="L120" s="181">
        <v>2022</v>
      </c>
      <c r="M120" s="181">
        <v>2023</v>
      </c>
      <c r="N120" s="181">
        <v>2024</v>
      </c>
      <c r="O120" s="181">
        <v>2025</v>
      </c>
      <c r="P120"/>
      <c r="Q120"/>
      <c r="R120"/>
      <c r="S120"/>
      <c r="T120"/>
    </row>
    <row r="121" spans="1:20" x14ac:dyDescent="0.15">
      <c r="A121" s="212" t="s">
        <v>120</v>
      </c>
      <c r="B121" s="90">
        <v>7.0999999999999994E-2</v>
      </c>
      <c r="C121" s="90">
        <v>7.7499999999999999E-2</v>
      </c>
      <c r="D121" s="90">
        <v>7.4999999999999997E-2</v>
      </c>
      <c r="E121" s="90">
        <v>6.9500000000000006E-2</v>
      </c>
      <c r="F121" s="90">
        <v>6.7500000000000004E-2</v>
      </c>
      <c r="G121" s="90">
        <v>6.6500000000000004E-2</v>
      </c>
      <c r="H121" s="90">
        <v>6.9000000000000006E-2</v>
      </c>
      <c r="I121" s="186">
        <v>6.9500000000000006E-2</v>
      </c>
      <c r="J121" s="186">
        <v>6.7000000000000004E-2</v>
      </c>
      <c r="K121" s="175">
        <f t="shared" ref="K121:O123" si="2">J121</f>
        <v>6.7000000000000004E-2</v>
      </c>
      <c r="L121" s="175">
        <f t="shared" si="2"/>
        <v>6.7000000000000004E-2</v>
      </c>
      <c r="M121" s="175">
        <f t="shared" si="2"/>
        <v>6.7000000000000004E-2</v>
      </c>
      <c r="N121" s="175">
        <f t="shared" si="2"/>
        <v>6.7000000000000004E-2</v>
      </c>
      <c r="O121" s="175">
        <f t="shared" si="2"/>
        <v>6.7000000000000004E-2</v>
      </c>
      <c r="P121"/>
      <c r="Q121"/>
      <c r="R121"/>
      <c r="S121"/>
      <c r="T121"/>
    </row>
    <row r="122" spans="1:20" x14ac:dyDescent="0.15">
      <c r="A122" s="212" t="s">
        <v>121</v>
      </c>
      <c r="B122" s="123">
        <v>0.05</v>
      </c>
      <c r="C122" s="123">
        <v>5.6500000000000002E-2</v>
      </c>
      <c r="D122" s="123">
        <v>5.3999999999999999E-2</v>
      </c>
      <c r="E122" s="123">
        <v>4.8500000000000001E-2</v>
      </c>
      <c r="F122" s="90">
        <v>5.5E-2</v>
      </c>
      <c r="G122" s="90">
        <v>5.3999999999999999E-2</v>
      </c>
      <c r="H122" s="90">
        <v>5.6500000000000002E-2</v>
      </c>
      <c r="I122" s="186">
        <v>5.7000000000000002E-2</v>
      </c>
      <c r="J122" s="186">
        <v>5.45E-2</v>
      </c>
      <c r="K122" s="175">
        <f t="shared" si="2"/>
        <v>5.45E-2</v>
      </c>
      <c r="L122" s="175">
        <f t="shared" si="2"/>
        <v>5.45E-2</v>
      </c>
      <c r="M122" s="175">
        <f t="shared" si="2"/>
        <v>5.45E-2</v>
      </c>
      <c r="N122" s="175">
        <f t="shared" si="2"/>
        <v>5.45E-2</v>
      </c>
      <c r="O122" s="175">
        <f t="shared" si="2"/>
        <v>5.45E-2</v>
      </c>
      <c r="P122"/>
      <c r="Q122"/>
      <c r="R122"/>
      <c r="S122"/>
      <c r="T122"/>
    </row>
    <row r="123" spans="1:20" x14ac:dyDescent="0.15">
      <c r="A123" s="212" t="s">
        <v>122</v>
      </c>
      <c r="B123" s="203">
        <v>50064</v>
      </c>
      <c r="C123" s="203">
        <v>50853</v>
      </c>
      <c r="D123" s="203">
        <v>51414</v>
      </c>
      <c r="E123" s="203">
        <v>51976</v>
      </c>
      <c r="F123" s="203">
        <v>52763</v>
      </c>
      <c r="G123" s="204">
        <v>53701</v>
      </c>
      <c r="H123" s="205">
        <v>54614</v>
      </c>
      <c r="I123" s="205">
        <v>55923</v>
      </c>
      <c r="J123" s="182">
        <v>57232</v>
      </c>
      <c r="K123" s="206">
        <f t="shared" si="2"/>
        <v>57232</v>
      </c>
      <c r="L123" s="206">
        <f t="shared" si="2"/>
        <v>57232</v>
      </c>
      <c r="M123" s="206">
        <f t="shared" si="2"/>
        <v>57232</v>
      </c>
      <c r="N123" s="206">
        <f t="shared" si="2"/>
        <v>57232</v>
      </c>
      <c r="O123" s="206">
        <f t="shared" si="2"/>
        <v>57232</v>
      </c>
      <c r="P123"/>
      <c r="Q123"/>
      <c r="R123"/>
      <c r="S123"/>
      <c r="T123"/>
    </row>
    <row r="124" spans="1:20" x14ac:dyDescent="0.15">
      <c r="A124" s="212"/>
      <c r="B124" s="183"/>
      <c r="C124" s="183"/>
      <c r="D124" s="186"/>
      <c r="E124" s="183"/>
      <c r="F124" s="196"/>
      <c r="G124" s="197"/>
      <c r="H124" s="197"/>
      <c r="I124" s="183"/>
      <c r="J124" s="183"/>
      <c r="K124" s="183"/>
      <c r="L124" s="183"/>
      <c r="M124" s="186"/>
      <c r="N124" s="183"/>
      <c r="O124" s="196"/>
      <c r="P124"/>
      <c r="Q124"/>
      <c r="R124"/>
      <c r="S124"/>
      <c r="T124"/>
    </row>
    <row r="125" spans="1:20" x14ac:dyDescent="0.15">
      <c r="A125" s="211" t="s">
        <v>96</v>
      </c>
      <c r="B125" s="181">
        <v>2012</v>
      </c>
      <c r="C125" s="181">
        <v>2013</v>
      </c>
      <c r="D125" s="181">
        <v>2014</v>
      </c>
      <c r="E125" s="181">
        <v>2015</v>
      </c>
      <c r="F125" s="181">
        <v>2016</v>
      </c>
      <c r="G125" s="181">
        <v>2017</v>
      </c>
      <c r="H125" s="181">
        <v>2018</v>
      </c>
      <c r="I125" s="181">
        <v>2019</v>
      </c>
      <c r="J125" s="181">
        <v>2020</v>
      </c>
      <c r="K125" s="181">
        <v>2021</v>
      </c>
      <c r="L125" s="181">
        <v>2022</v>
      </c>
      <c r="M125" s="181">
        <v>2023</v>
      </c>
      <c r="N125" s="181">
        <v>2024</v>
      </c>
      <c r="O125" s="181">
        <v>2025</v>
      </c>
      <c r="P125"/>
      <c r="Q125"/>
      <c r="R125"/>
      <c r="S125"/>
      <c r="T125"/>
    </row>
    <row r="126" spans="1:20" x14ac:dyDescent="0.15">
      <c r="A126" s="212" t="s">
        <v>9</v>
      </c>
      <c r="B126" s="124">
        <v>0.12</v>
      </c>
      <c r="C126" s="124">
        <v>0.12</v>
      </c>
      <c r="D126" s="186">
        <v>0.109</v>
      </c>
      <c r="E126" s="90">
        <v>9.8000000000000004E-2</v>
      </c>
      <c r="F126" s="90">
        <v>9.8000000000000004E-2</v>
      </c>
      <c r="G126" s="90">
        <v>9.8000000000000004E-2</v>
      </c>
      <c r="H126" s="90">
        <v>9.4399999999999998E-2</v>
      </c>
      <c r="I126" s="90">
        <v>9.4399999999999998E-2</v>
      </c>
      <c r="J126" s="90">
        <f>I126</f>
        <v>9.4399999999999998E-2</v>
      </c>
      <c r="K126" s="177">
        <f t="shared" ref="K126:O127" si="3">J126</f>
        <v>9.4399999999999998E-2</v>
      </c>
      <c r="L126" s="177">
        <f t="shared" si="3"/>
        <v>9.4399999999999998E-2</v>
      </c>
      <c r="M126" s="177">
        <f t="shared" si="3"/>
        <v>9.4399999999999998E-2</v>
      </c>
      <c r="N126" s="177">
        <f t="shared" si="3"/>
        <v>9.4399999999999998E-2</v>
      </c>
      <c r="O126" s="177">
        <f t="shared" si="3"/>
        <v>9.4399999999999998E-2</v>
      </c>
      <c r="P126"/>
      <c r="Q126"/>
      <c r="R126"/>
      <c r="S126"/>
      <c r="T126"/>
    </row>
    <row r="127" spans="1:20" x14ac:dyDescent="0.15">
      <c r="A127" s="212" t="s">
        <v>123</v>
      </c>
      <c r="B127" s="182">
        <v>9542</v>
      </c>
      <c r="C127" s="182">
        <v>9542</v>
      </c>
      <c r="D127" s="182">
        <v>9542</v>
      </c>
      <c r="E127" s="182">
        <v>8631</v>
      </c>
      <c r="F127" s="182">
        <v>8774</v>
      </c>
      <c r="G127" s="182">
        <v>8946</v>
      </c>
      <c r="H127" s="182">
        <v>8775</v>
      </c>
      <c r="I127" s="182">
        <v>8999</v>
      </c>
      <c r="J127" s="182">
        <v>9218</v>
      </c>
      <c r="K127" s="206">
        <f t="shared" si="3"/>
        <v>9218</v>
      </c>
      <c r="L127" s="206">
        <f t="shared" si="3"/>
        <v>9218</v>
      </c>
      <c r="M127" s="206">
        <f t="shared" si="3"/>
        <v>9218</v>
      </c>
      <c r="N127" s="206">
        <f t="shared" si="3"/>
        <v>9218</v>
      </c>
      <c r="O127" s="206">
        <f t="shared" si="3"/>
        <v>9218</v>
      </c>
      <c r="P127"/>
      <c r="Q127"/>
      <c r="R127"/>
      <c r="S127"/>
      <c r="T127"/>
    </row>
    <row r="128" spans="1:20" x14ac:dyDescent="0.15">
      <c r="A128" s="212"/>
      <c r="B128" s="183"/>
      <c r="C128" s="183"/>
      <c r="D128" s="183"/>
      <c r="E128" s="183"/>
      <c r="F128" s="183"/>
      <c r="G128" s="202"/>
      <c r="H128" s="202"/>
      <c r="I128" s="183"/>
      <c r="J128" s="183"/>
      <c r="K128" s="183"/>
      <c r="L128" s="183"/>
      <c r="M128" s="183"/>
      <c r="N128" s="183"/>
      <c r="O128" s="183"/>
      <c r="P128"/>
      <c r="Q128"/>
      <c r="R128"/>
      <c r="S128"/>
      <c r="T128"/>
    </row>
    <row r="129" spans="1:20" x14ac:dyDescent="0.15">
      <c r="A129" s="181"/>
      <c r="B129" s="181">
        <v>2012</v>
      </c>
      <c r="C129" s="181">
        <v>2013</v>
      </c>
      <c r="D129" s="181">
        <v>2014</v>
      </c>
      <c r="E129" s="181">
        <v>2015</v>
      </c>
      <c r="F129" s="181">
        <v>2016</v>
      </c>
      <c r="G129" s="181">
        <v>2017</v>
      </c>
      <c r="H129" s="181">
        <v>2018</v>
      </c>
      <c r="I129" s="181">
        <v>2019</v>
      </c>
      <c r="J129" s="181">
        <v>2020</v>
      </c>
      <c r="K129" s="181">
        <v>2021</v>
      </c>
      <c r="L129" s="181">
        <v>2022</v>
      </c>
      <c r="M129" s="181">
        <v>2023</v>
      </c>
      <c r="N129" s="181">
        <v>2024</v>
      </c>
      <c r="O129" s="181">
        <v>2025</v>
      </c>
      <c r="P129" s="181">
        <v>2026</v>
      </c>
      <c r="Q129" s="181">
        <v>2027</v>
      </c>
      <c r="R129" s="181">
        <v>2028</v>
      </c>
      <c r="S129" s="181">
        <v>2029</v>
      </c>
      <c r="T129" s="181">
        <v>2030</v>
      </c>
    </row>
    <row r="130" spans="1:20" x14ac:dyDescent="0.15">
      <c r="A130" s="211" t="s">
        <v>11</v>
      </c>
      <c r="B130" s="183">
        <f t="shared" ref="B130:G130" si="4">IF($B79,3640,7280)</f>
        <v>7280</v>
      </c>
      <c r="C130" s="183">
        <f t="shared" si="4"/>
        <v>7280</v>
      </c>
      <c r="D130" s="183">
        <f t="shared" si="4"/>
        <v>7280</v>
      </c>
      <c r="E130" s="183">
        <f t="shared" si="4"/>
        <v>7280</v>
      </c>
      <c r="F130" s="183">
        <f t="shared" si="4"/>
        <v>7280</v>
      </c>
      <c r="G130" s="183">
        <f t="shared" si="4"/>
        <v>7280</v>
      </c>
      <c r="H130" s="183">
        <f>IF(H79,3640,7280)</f>
        <v>7280</v>
      </c>
      <c r="I130" s="183">
        <f>IF(I79,3640,7280)</f>
        <v>7280</v>
      </c>
      <c r="J130" s="183">
        <f>I130-250</f>
        <v>7030</v>
      </c>
      <c r="K130" s="96">
        <f t="shared" ref="K130:O130" si="5">J130-250</f>
        <v>6780</v>
      </c>
      <c r="L130" s="96">
        <f t="shared" si="5"/>
        <v>6530</v>
      </c>
      <c r="M130" s="96">
        <f t="shared" si="5"/>
        <v>6280</v>
      </c>
      <c r="N130" s="96">
        <f t="shared" si="5"/>
        <v>6030</v>
      </c>
      <c r="O130" s="96">
        <f t="shared" si="5"/>
        <v>5780</v>
      </c>
      <c r="P130" s="96">
        <f t="shared" ref="P130:Q130" si="6">O130-250</f>
        <v>5530</v>
      </c>
      <c r="Q130" s="96">
        <f t="shared" si="6"/>
        <v>5280</v>
      </c>
      <c r="R130" s="96">
        <v>5000</v>
      </c>
      <c r="S130" s="96"/>
      <c r="T130" s="96"/>
    </row>
    <row r="131" spans="1:20" x14ac:dyDescent="0.15">
      <c r="A131" s="211" t="s">
        <v>12</v>
      </c>
      <c r="B131" s="183">
        <f t="shared" ref="B131:G131" si="7">IF($B79,1062,2123)</f>
        <v>2123</v>
      </c>
      <c r="C131" s="183">
        <f t="shared" si="7"/>
        <v>2123</v>
      </c>
      <c r="D131" s="183">
        <f t="shared" si="7"/>
        <v>2123</v>
      </c>
      <c r="E131" s="183">
        <f t="shared" si="7"/>
        <v>2123</v>
      </c>
      <c r="F131" s="183">
        <f t="shared" si="7"/>
        <v>2123</v>
      </c>
      <c r="G131" s="183">
        <f t="shared" si="7"/>
        <v>2123</v>
      </c>
      <c r="H131" s="183">
        <f>IF(H79,1062,2123)</f>
        <v>2123</v>
      </c>
      <c r="I131" s="183">
        <f>IF(I79,1062,2123)</f>
        <v>2123</v>
      </c>
      <c r="J131" s="183">
        <f>IF(J79,1062,2123)</f>
        <v>2123</v>
      </c>
      <c r="K131" s="96">
        <f>IF(K79,1062,2123)</f>
        <v>2123</v>
      </c>
      <c r="L131" s="200"/>
      <c r="M131" s="200"/>
      <c r="N131" s="200"/>
      <c r="O131" s="200"/>
      <c r="P131"/>
      <c r="Q131"/>
      <c r="R131"/>
      <c r="S131"/>
      <c r="T131"/>
    </row>
    <row r="132" spans="1:20" x14ac:dyDescent="0.15">
      <c r="A132" s="211" t="s">
        <v>124</v>
      </c>
      <c r="B132" s="183"/>
      <c r="C132" s="183"/>
      <c r="D132" s="186"/>
      <c r="E132" s="183"/>
      <c r="F132" s="196"/>
      <c r="G132" s="197"/>
      <c r="H132" s="197"/>
      <c r="I132" s="183"/>
      <c r="J132" s="183"/>
      <c r="K132" s="183"/>
      <c r="L132" s="183"/>
      <c r="M132" s="186"/>
      <c r="N132" s="183"/>
      <c r="O132" s="196"/>
      <c r="P132"/>
      <c r="Q132"/>
      <c r="R132"/>
      <c r="S132"/>
      <c r="T132"/>
    </row>
    <row r="133" spans="1:20" x14ac:dyDescent="0.15">
      <c r="A133" s="212"/>
      <c r="B133" s="183"/>
      <c r="C133" s="183"/>
      <c r="D133" s="186"/>
      <c r="E133" s="183"/>
      <c r="F133" s="196"/>
      <c r="G133" s="197"/>
      <c r="H133" s="197"/>
      <c r="I133" s="183"/>
      <c r="J133" s="183"/>
      <c r="K133" s="183"/>
      <c r="L133" s="183"/>
      <c r="M133" s="186"/>
      <c r="N133" s="183"/>
      <c r="O133" s="196"/>
      <c r="P133"/>
      <c r="Q133"/>
      <c r="R133"/>
      <c r="S133"/>
      <c r="T133"/>
    </row>
    <row r="134" spans="1:20" x14ac:dyDescent="0.15">
      <c r="A134" s="211" t="s">
        <v>14</v>
      </c>
      <c r="B134" s="181">
        <v>2012</v>
      </c>
      <c r="C134" s="181">
        <v>2013</v>
      </c>
      <c r="D134" s="181">
        <v>2014</v>
      </c>
      <c r="E134" s="181">
        <v>2015</v>
      </c>
      <c r="F134" s="181">
        <v>2016</v>
      </c>
      <c r="G134" s="181">
        <v>2017</v>
      </c>
      <c r="H134" s="181">
        <v>2018</v>
      </c>
      <c r="I134" s="181">
        <v>2019</v>
      </c>
      <c r="J134" s="181">
        <v>2020</v>
      </c>
      <c r="K134" s="181">
        <v>2021</v>
      </c>
      <c r="L134" s="181">
        <v>2022</v>
      </c>
      <c r="M134" s="181">
        <v>2023</v>
      </c>
      <c r="N134" s="181">
        <v>2024</v>
      </c>
      <c r="O134" s="181">
        <v>2025</v>
      </c>
      <c r="P134"/>
      <c r="Q134"/>
      <c r="R134"/>
      <c r="S134"/>
      <c r="T134"/>
    </row>
    <row r="135" spans="1:20" x14ac:dyDescent="0.15">
      <c r="A135" s="212"/>
      <c r="B135" s="188">
        <v>0.12</v>
      </c>
      <c r="C135" s="188">
        <v>0.14000000000000001</v>
      </c>
      <c r="D135" s="188">
        <v>0.14000000000000001</v>
      </c>
      <c r="E135" s="188">
        <v>0.14000000000000001</v>
      </c>
      <c r="F135" s="188">
        <v>0.14000000000000001</v>
      </c>
      <c r="G135" s="188">
        <v>0.14000000000000001</v>
      </c>
      <c r="H135" s="188">
        <v>0.14000000000000001</v>
      </c>
      <c r="I135" s="188">
        <v>0.14000000000000001</v>
      </c>
      <c r="J135" s="188">
        <v>0.14000000000000001</v>
      </c>
      <c r="K135" s="207">
        <v>0.14000000000000001</v>
      </c>
      <c r="L135" s="188">
        <v>0.14000000000000001</v>
      </c>
      <c r="M135" s="188">
        <v>0.14000000000000001</v>
      </c>
      <c r="N135" s="188">
        <v>0.14000000000000001</v>
      </c>
      <c r="O135" s="188">
        <v>0.14000000000000001</v>
      </c>
      <c r="P135"/>
      <c r="Q135"/>
      <c r="R135"/>
      <c r="S135"/>
      <c r="T135"/>
    </row>
    <row r="136" spans="1:20" x14ac:dyDescent="0.15">
      <c r="A136" s="212"/>
      <c r="B136" s="183"/>
      <c r="C136" s="183"/>
      <c r="D136" s="183"/>
      <c r="E136" s="183"/>
      <c r="F136" s="183"/>
      <c r="G136" s="202"/>
      <c r="H136" s="202"/>
      <c r="I136" s="183"/>
      <c r="J136" s="183"/>
      <c r="K136" s="183"/>
      <c r="L136" s="183"/>
      <c r="M136" s="183"/>
      <c r="N136" s="183"/>
      <c r="O136" s="183"/>
      <c r="P136"/>
      <c r="Q136"/>
      <c r="R136"/>
      <c r="S136"/>
      <c r="T136"/>
    </row>
    <row r="137" spans="1:20" x14ac:dyDescent="0.15">
      <c r="A137" s="211" t="s">
        <v>8</v>
      </c>
      <c r="B137" s="181">
        <v>2012</v>
      </c>
      <c r="C137" s="181">
        <v>2013</v>
      </c>
      <c r="D137" s="181">
        <v>2014</v>
      </c>
      <c r="E137" s="181">
        <v>2015</v>
      </c>
      <c r="F137" s="181">
        <v>2016</v>
      </c>
      <c r="G137" s="181">
        <v>2017</v>
      </c>
      <c r="H137" s="181">
        <v>2018</v>
      </c>
      <c r="I137" s="181">
        <v>2019</v>
      </c>
      <c r="J137" s="181">
        <v>2020</v>
      </c>
      <c r="K137" s="181">
        <v>2021</v>
      </c>
      <c r="L137" s="181">
        <v>2022</v>
      </c>
      <c r="M137" s="181">
        <v>2023</v>
      </c>
      <c r="N137" s="181">
        <v>2024</v>
      </c>
      <c r="O137" s="181">
        <v>2025</v>
      </c>
      <c r="P137"/>
      <c r="Q137"/>
      <c r="R137"/>
      <c r="S137"/>
      <c r="T137"/>
    </row>
    <row r="138" spans="1:20" x14ac:dyDescent="0.15">
      <c r="A138" s="212" t="s">
        <v>125</v>
      </c>
      <c r="B138" s="208">
        <v>1040000</v>
      </c>
      <c r="C138" s="208">
        <v>1040000</v>
      </c>
      <c r="D138" s="208">
        <v>1040000</v>
      </c>
      <c r="E138" s="208">
        <v>1050000</v>
      </c>
      <c r="F138" s="208">
        <v>1050000</v>
      </c>
      <c r="G138" s="208">
        <v>1060000</v>
      </c>
      <c r="H138" s="208">
        <v>1060000</v>
      </c>
      <c r="I138" s="208">
        <v>1080000</v>
      </c>
      <c r="J138" s="208">
        <v>1090000</v>
      </c>
      <c r="K138" s="209">
        <f t="shared" ref="K138:O138" si="8">J138</f>
        <v>1090000</v>
      </c>
      <c r="L138" s="209">
        <f t="shared" si="8"/>
        <v>1090000</v>
      </c>
      <c r="M138" s="209">
        <f t="shared" si="8"/>
        <v>1090000</v>
      </c>
      <c r="N138" s="209">
        <f t="shared" si="8"/>
        <v>1090000</v>
      </c>
      <c r="O138" s="209">
        <f t="shared" si="8"/>
        <v>1090000</v>
      </c>
      <c r="P138"/>
      <c r="Q138"/>
      <c r="R138"/>
      <c r="S138"/>
      <c r="T138"/>
    </row>
    <row r="139" spans="1:20" x14ac:dyDescent="0.15">
      <c r="A139" s="212">
        <v>12500</v>
      </c>
      <c r="B139" s="186">
        <v>2E-3</v>
      </c>
      <c r="C139" s="186">
        <v>2E-3</v>
      </c>
      <c r="D139" s="186">
        <v>2.5000000000000001E-3</v>
      </c>
      <c r="E139" s="186">
        <v>3.0000000000000001E-3</v>
      </c>
      <c r="F139" s="186">
        <v>3.0000000000000001E-3</v>
      </c>
      <c r="G139" s="186">
        <v>3.0000000000000001E-3</v>
      </c>
      <c r="H139" s="186">
        <v>2.5000000000000001E-3</v>
      </c>
      <c r="I139" s="186">
        <v>2.5000000000000001E-3</v>
      </c>
      <c r="J139" s="186">
        <v>2E-3</v>
      </c>
      <c r="K139" s="186">
        <v>2E-3</v>
      </c>
      <c r="L139" s="186">
        <v>2E-3</v>
      </c>
      <c r="M139" s="186">
        <v>1.5E-3</v>
      </c>
      <c r="N139" s="183"/>
      <c r="O139" s="183"/>
      <c r="P139"/>
      <c r="Q139"/>
      <c r="R139"/>
      <c r="S139"/>
      <c r="T139"/>
    </row>
    <row r="140" spans="1:20" x14ac:dyDescent="0.15">
      <c r="A140" s="212">
        <v>25000</v>
      </c>
      <c r="B140" s="210">
        <v>3.5000000000000001E-3</v>
      </c>
      <c r="C140" s="210">
        <v>3.5000000000000001E-3</v>
      </c>
      <c r="D140" s="210">
        <v>4.0000000000000001E-3</v>
      </c>
      <c r="E140" s="210">
        <v>4.4999999999999997E-3</v>
      </c>
      <c r="F140" s="210">
        <v>4.4999999999999997E-3</v>
      </c>
      <c r="G140" s="210">
        <v>4.4999999999999997E-3</v>
      </c>
      <c r="H140" s="210">
        <v>4.0000000000000001E-3</v>
      </c>
      <c r="I140" s="176">
        <v>3.5000000000000001E-3</v>
      </c>
      <c r="J140" s="176">
        <v>3.5000000000000001E-3</v>
      </c>
      <c r="K140" s="176">
        <v>3.0000000000000001E-3</v>
      </c>
      <c r="L140" s="176">
        <v>3.0000000000000001E-3</v>
      </c>
      <c r="M140" s="176">
        <v>2.5000000000000001E-3</v>
      </c>
      <c r="N140" s="203"/>
      <c r="O140" s="203"/>
      <c r="P140"/>
      <c r="Q140"/>
      <c r="R140"/>
      <c r="S140"/>
      <c r="T140"/>
    </row>
    <row r="141" spans="1:20" x14ac:dyDescent="0.15">
      <c r="A141" s="212">
        <v>50000</v>
      </c>
      <c r="B141" s="186">
        <v>4.4999999999999997E-3</v>
      </c>
      <c r="C141" s="186">
        <v>4.4999999999999997E-3</v>
      </c>
      <c r="D141" s="186">
        <v>5.4999999999999997E-3</v>
      </c>
      <c r="E141" s="186">
        <v>6.0000000000000001E-3</v>
      </c>
      <c r="F141" s="186">
        <v>6.0000000000000001E-3</v>
      </c>
      <c r="G141" s="186">
        <v>6.0000000000000001E-3</v>
      </c>
      <c r="H141" s="186">
        <v>5.4999999999999997E-3</v>
      </c>
      <c r="I141" s="176">
        <v>5.0000000000000001E-3</v>
      </c>
      <c r="J141" s="176">
        <v>4.4999999999999997E-3</v>
      </c>
      <c r="K141" s="176">
        <v>4.0000000000000001E-3</v>
      </c>
      <c r="L141" s="176">
        <v>4.0000000000000001E-3</v>
      </c>
      <c r="M141" s="176">
        <v>3.5000000000000001E-3</v>
      </c>
      <c r="N141" s="183"/>
      <c r="O141" s="196"/>
      <c r="P141"/>
      <c r="Q141"/>
      <c r="R141"/>
      <c r="S141"/>
      <c r="T141"/>
    </row>
    <row r="142" spans="1:20" x14ac:dyDescent="0.15">
      <c r="A142" s="212">
        <v>75000</v>
      </c>
      <c r="B142" s="186">
        <v>6.0000000000000001E-3</v>
      </c>
      <c r="C142" s="186">
        <v>6.0000000000000001E-3</v>
      </c>
      <c r="D142" s="186">
        <v>7.0000000000000001E-3</v>
      </c>
      <c r="E142" s="186">
        <v>7.4999999999999997E-3</v>
      </c>
      <c r="F142" s="186">
        <v>7.4999999999999997E-3</v>
      </c>
      <c r="G142" s="186">
        <v>7.4999999999999997E-3</v>
      </c>
      <c r="H142" s="186">
        <v>7.0000000000000001E-3</v>
      </c>
      <c r="I142" s="176">
        <v>6.4999999999999997E-3</v>
      </c>
      <c r="J142" s="176">
        <v>6.0000000000000001E-3</v>
      </c>
      <c r="K142" s="176">
        <v>5.0000000000000001E-3</v>
      </c>
      <c r="L142" s="176">
        <v>5.0000000000000001E-3</v>
      </c>
      <c r="M142" s="176">
        <v>4.4999999999999997E-3</v>
      </c>
      <c r="N142" s="183"/>
      <c r="O142" s="196"/>
      <c r="P142"/>
      <c r="Q142"/>
      <c r="R142"/>
      <c r="S142"/>
      <c r="T142"/>
    </row>
    <row r="143" spans="1:20" x14ac:dyDescent="0.15">
      <c r="A143" s="212">
        <f>LOOKUP(A1,B137:O137,B138:O138)</f>
        <v>1090000</v>
      </c>
      <c r="B143" s="186">
        <v>1.2999999999999999E-2</v>
      </c>
      <c r="C143" s="186">
        <v>1.55E-2</v>
      </c>
      <c r="D143" s="186">
        <v>1.7999999999999999E-2</v>
      </c>
      <c r="E143" s="186">
        <v>2.0500000000000001E-2</v>
      </c>
      <c r="F143" s="186">
        <v>2.35E-2</v>
      </c>
      <c r="G143" s="186">
        <v>2.35E-2</v>
      </c>
      <c r="H143" s="186">
        <v>2.35E-2</v>
      </c>
      <c r="I143" s="176">
        <v>2.35E-2</v>
      </c>
      <c r="J143" s="176">
        <v>2.35E-2</v>
      </c>
      <c r="K143" s="176">
        <v>2.35E-2</v>
      </c>
      <c r="L143" s="176">
        <v>2.35E-2</v>
      </c>
      <c r="M143" s="176">
        <v>2.35E-2</v>
      </c>
      <c r="N143" s="183"/>
      <c r="O143" s="196"/>
      <c r="P143"/>
      <c r="Q143"/>
      <c r="R143"/>
      <c r="S143"/>
      <c r="T143"/>
    </row>
    <row r="144" spans="1:20" x14ac:dyDescent="0.15">
      <c r="A144" s="212" t="s">
        <v>129</v>
      </c>
      <c r="B144" s="188">
        <v>1</v>
      </c>
      <c r="C144" s="188">
        <v>1</v>
      </c>
      <c r="D144" s="188">
        <v>1</v>
      </c>
      <c r="E144" s="188">
        <v>1</v>
      </c>
      <c r="F144" s="188">
        <v>1</v>
      </c>
      <c r="G144" s="188">
        <v>1</v>
      </c>
      <c r="H144" s="188">
        <v>1</v>
      </c>
      <c r="I144" s="186">
        <f>H144-(1/30)</f>
        <v>0.96666666666666667</v>
      </c>
      <c r="J144" s="186">
        <f t="shared" ref="J144:O144" si="9">I144-(1/30)</f>
        <v>0.93333333333333335</v>
      </c>
      <c r="K144" s="186">
        <f t="shared" si="9"/>
        <v>0.9</v>
      </c>
      <c r="L144" s="186">
        <f t="shared" si="9"/>
        <v>0.8666666666666667</v>
      </c>
      <c r="M144" s="186">
        <f t="shared" si="9"/>
        <v>0.83333333333333337</v>
      </c>
      <c r="N144" s="186">
        <f t="shared" si="9"/>
        <v>0.8</v>
      </c>
      <c r="O144" s="186">
        <f t="shared" si="9"/>
        <v>0.76666666666666672</v>
      </c>
    </row>
  </sheetData>
  <sheetProtection algorithmName="SHA-512" hashValue="5h8RNRnImKvk8h7ggtMC6xwBQHOa+HrQQCSOKEjrcfwK41xTPbskxYIcPWWg30h/Yj5lHsASuuQIB/4olDmA8g==" saltValue="ZMrYFyBbYVobhC0zLkMU0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T144"/>
  <sheetViews>
    <sheetView showGridLines="0" showRowColHeaders="0" topLeftCell="A49" workbookViewId="0">
      <selection activeCell="A72" sqref="A72:O144"/>
    </sheetView>
  </sheetViews>
  <sheetFormatPr defaultColWidth="0.140625" defaultRowHeight="11.25" x14ac:dyDescent="0.15"/>
  <cols>
    <col min="1" max="1" width="34.5703125" style="127" bestFit="1" customWidth="1"/>
    <col min="2" max="2" width="16.140625" style="127" bestFit="1" customWidth="1"/>
    <col min="3" max="3" width="10.140625" style="127" bestFit="1" customWidth="1"/>
    <col min="4" max="4" width="19" style="127" bestFit="1" customWidth="1"/>
    <col min="5" max="6" width="10.7109375" style="127" bestFit="1" customWidth="1"/>
    <col min="7" max="11" width="10.140625" style="127" bestFit="1" customWidth="1"/>
    <col min="12" max="15" width="5.5703125" style="127" bestFit="1" customWidth="1"/>
    <col min="16" max="16384" width="0.140625" style="127"/>
  </cols>
  <sheetData>
    <row r="1" spans="1:15" ht="15" x14ac:dyDescent="0.15">
      <c r="A1" s="73">
        <f>'1'!E2</f>
        <v>2020</v>
      </c>
      <c r="B1" s="74" t="s">
        <v>69</v>
      </c>
      <c r="C1" s="74"/>
      <c r="D1" s="75">
        <f ca="1">D12-D24-D32-D35</f>
        <v>0</v>
      </c>
      <c r="E1" s="74"/>
      <c r="F1" s="76"/>
      <c r="G1" s="77"/>
      <c r="H1" s="74"/>
      <c r="I1" s="78"/>
      <c r="J1" s="74"/>
      <c r="K1" s="74"/>
      <c r="L1" s="74"/>
      <c r="M1" s="74"/>
      <c r="N1" s="74"/>
      <c r="O1" s="74"/>
    </row>
    <row r="2" spans="1:15" ht="15" x14ac:dyDescent="0.15">
      <c r="A2" s="130">
        <f>'1'!C84</f>
        <v>0</v>
      </c>
      <c r="B2" s="74" t="s">
        <v>128</v>
      </c>
      <c r="C2" s="74"/>
      <c r="D2" s="75"/>
      <c r="E2" s="74"/>
      <c r="F2" s="77"/>
      <c r="G2" s="77"/>
      <c r="H2" s="74"/>
      <c r="I2" s="78"/>
      <c r="J2" s="74"/>
      <c r="K2" s="74"/>
      <c r="L2" s="74"/>
      <c r="M2" s="74"/>
      <c r="N2" s="74"/>
      <c r="O2" s="74"/>
    </row>
    <row r="3" spans="1:15" x14ac:dyDescent="0.15">
      <c r="A3" s="125">
        <f>'1'!C95</f>
        <v>0</v>
      </c>
      <c r="B3" s="74" t="s">
        <v>65</v>
      </c>
      <c r="C3" s="74"/>
      <c r="D3" s="74"/>
      <c r="E3" s="74"/>
      <c r="F3" s="79"/>
      <c r="G3" s="74"/>
      <c r="H3" s="74"/>
      <c r="I3" s="74"/>
      <c r="J3" s="74"/>
      <c r="K3" s="74"/>
      <c r="L3" s="74"/>
      <c r="M3" s="74"/>
      <c r="N3" s="74"/>
      <c r="O3" s="74"/>
    </row>
    <row r="4" spans="1:15" x14ac:dyDescent="0.15">
      <c r="A4" s="80">
        <f>'1'!E9</f>
        <v>36526</v>
      </c>
      <c r="B4" s="74" t="s">
        <v>70</v>
      </c>
      <c r="C4" s="74"/>
      <c r="D4" s="74"/>
      <c r="E4" s="74"/>
      <c r="F4" s="81"/>
      <c r="G4" s="74"/>
      <c r="H4" s="74"/>
      <c r="I4" s="74"/>
      <c r="J4" s="74"/>
      <c r="K4" s="74"/>
      <c r="L4" s="74"/>
      <c r="M4" s="74"/>
      <c r="N4" s="74"/>
      <c r="O4" s="74"/>
    </row>
    <row r="5" spans="1:15" x14ac:dyDescent="0.15">
      <c r="A5" s="82"/>
      <c r="B5" s="74"/>
      <c r="C5" s="74"/>
      <c r="D5" s="74"/>
      <c r="E5" s="74"/>
      <c r="F5" s="76"/>
      <c r="G5" s="77"/>
      <c r="H5" s="74"/>
      <c r="I5" s="74"/>
      <c r="J5" s="74"/>
      <c r="K5" s="74"/>
      <c r="L5" s="74"/>
      <c r="M5" s="74"/>
      <c r="N5" s="74"/>
      <c r="O5" s="74"/>
    </row>
    <row r="6" spans="1:15" x14ac:dyDescent="0.15">
      <c r="A6" s="83" t="s">
        <v>71</v>
      </c>
      <c r="B6" s="74"/>
      <c r="C6" s="74"/>
      <c r="D6" s="74"/>
      <c r="E6" s="74"/>
      <c r="F6" s="76"/>
      <c r="G6" s="77"/>
      <c r="H6" s="74"/>
      <c r="I6" s="74"/>
      <c r="J6" s="74"/>
      <c r="K6" s="74"/>
      <c r="L6" s="74"/>
      <c r="M6" s="74"/>
      <c r="N6" s="74"/>
      <c r="O6" s="74"/>
    </row>
    <row r="7" spans="1:15" x14ac:dyDescent="0.15">
      <c r="A7" s="84" t="s">
        <v>72</v>
      </c>
      <c r="B7" s="85" t="s">
        <v>73</v>
      </c>
      <c r="C7" s="85" t="s">
        <v>74</v>
      </c>
      <c r="D7" s="86" t="s">
        <v>75</v>
      </c>
      <c r="E7" s="74"/>
      <c r="F7" s="87"/>
      <c r="G7" s="85"/>
      <c r="H7" s="85"/>
      <c r="I7" s="86"/>
      <c r="J7" s="74"/>
      <c r="K7" s="74"/>
      <c r="L7" s="74"/>
      <c r="M7" s="74"/>
      <c r="N7" s="74"/>
      <c r="O7" s="74"/>
    </row>
    <row r="8" spans="1:15" x14ac:dyDescent="0.15">
      <c r="A8" s="88" t="s">
        <v>76</v>
      </c>
      <c r="B8" s="89">
        <f>LOOKUP($A$1,$B$73:$O$73,B74:O74)</f>
        <v>20711</v>
      </c>
      <c r="C8" s="90">
        <f ca="1">LOOKUP($A$1,$B$73:$O$73,B80:G80)</f>
        <v>0.3735</v>
      </c>
      <c r="D8" s="91">
        <f ca="1">IF($A$3&gt;$B8,$B8*$C8,$A$3*$C8)</f>
        <v>0</v>
      </c>
      <c r="E8" s="74"/>
      <c r="F8" s="92"/>
      <c r="G8" s="89"/>
      <c r="H8" s="90"/>
      <c r="I8" s="91"/>
      <c r="J8" s="74"/>
      <c r="K8" s="74"/>
      <c r="L8" s="74"/>
      <c r="M8" s="74"/>
      <c r="N8" s="74"/>
      <c r="O8" s="74"/>
    </row>
    <row r="9" spans="1:15" x14ac:dyDescent="0.15">
      <c r="A9" s="88" t="s">
        <v>77</v>
      </c>
      <c r="B9" s="89">
        <f>LOOKUP($A$1,$B$73:$O$73,B75:O75)</f>
        <v>34712</v>
      </c>
      <c r="C9" s="90">
        <f ca="1">LOOKUP($A$1,$B$73:$O$73,B81:G81)</f>
        <v>0.3735</v>
      </c>
      <c r="D9" s="91">
        <f ca="1">MAX(IF($A$3&gt;$B9,($B9-$B8)*$C9,($A$3-$B8)*$C9),0)</f>
        <v>0</v>
      </c>
      <c r="E9" s="74"/>
      <c r="F9" s="92"/>
      <c r="G9" s="89"/>
      <c r="H9" s="90"/>
      <c r="I9" s="91"/>
      <c r="J9" s="74"/>
      <c r="K9" s="74"/>
      <c r="L9" s="74"/>
      <c r="M9" s="74"/>
      <c r="N9" s="74"/>
      <c r="O9" s="74"/>
    </row>
    <row r="10" spans="1:15" x14ac:dyDescent="0.15">
      <c r="A10" s="88" t="s">
        <v>78</v>
      </c>
      <c r="B10" s="89">
        <f>LOOKUP($A$1,$B$73:$O$73,B76:O76)</f>
        <v>68507</v>
      </c>
      <c r="C10" s="90">
        <f ca="1">LOOKUP($A$1,$B$73:$O$73,B82:G82)</f>
        <v>0.3735</v>
      </c>
      <c r="D10" s="91">
        <f ca="1">MAX(IF($A$3&gt;$B10,($B10-$B9)*$C10,($A$3-$B9)*$C10),0)</f>
        <v>0</v>
      </c>
      <c r="E10" s="74"/>
      <c r="F10" s="92"/>
      <c r="G10" s="89"/>
      <c r="H10" s="90"/>
      <c r="I10" s="91"/>
      <c r="J10" s="74"/>
      <c r="K10" s="74"/>
      <c r="L10" s="74"/>
      <c r="M10" s="74"/>
      <c r="N10" s="74"/>
      <c r="O10" s="74"/>
    </row>
    <row r="11" spans="1:15" x14ac:dyDescent="0.15">
      <c r="A11" s="88" t="s">
        <v>79</v>
      </c>
      <c r="B11" s="93">
        <v>1E+100</v>
      </c>
      <c r="C11" s="90">
        <f ca="1">LOOKUP($A$1,$B$73:$O$73,B83:G83)</f>
        <v>0.495</v>
      </c>
      <c r="D11" s="91">
        <f ca="1">MAX(IF($A$3&gt;$B11,($B11-$B10)*$C11,($A$3-$B10)*$C11),0)</f>
        <v>0</v>
      </c>
      <c r="E11" s="74"/>
      <c r="F11" s="92"/>
      <c r="G11" s="93"/>
      <c r="H11" s="90"/>
      <c r="I11" s="91"/>
      <c r="J11" s="74"/>
      <c r="K11" s="74"/>
      <c r="L11" s="74"/>
      <c r="M11" s="74"/>
      <c r="N11" s="74"/>
      <c r="O11" s="74"/>
    </row>
    <row r="12" spans="1:15" ht="15" x14ac:dyDescent="0.15">
      <c r="A12" s="88"/>
      <c r="B12" s="89"/>
      <c r="C12" s="89"/>
      <c r="D12" s="94">
        <f ca="1">ROUNDDOWN(SUM(D8:D11),0)</f>
        <v>0</v>
      </c>
      <c r="E12" s="74"/>
      <c r="F12" s="92"/>
      <c r="G12" s="89"/>
      <c r="H12" s="89"/>
      <c r="I12" s="95"/>
      <c r="J12" s="74"/>
      <c r="K12" s="74"/>
      <c r="L12" s="74"/>
      <c r="M12" s="74"/>
      <c r="N12" s="74"/>
      <c r="O12" s="74"/>
    </row>
    <row r="13" spans="1:15" ht="15" x14ac:dyDescent="0.15">
      <c r="A13" s="88"/>
      <c r="B13" s="89"/>
      <c r="C13" s="89"/>
      <c r="D13" s="95"/>
      <c r="E13" s="74"/>
      <c r="F13" s="88"/>
      <c r="G13" s="89"/>
      <c r="H13" s="89"/>
      <c r="I13" s="95"/>
      <c r="J13" s="74"/>
      <c r="K13" s="74"/>
      <c r="L13" s="74"/>
      <c r="M13" s="74"/>
      <c r="N13" s="74"/>
      <c r="O13" s="74"/>
    </row>
    <row r="14" spans="1:15" ht="15" x14ac:dyDescent="0.15">
      <c r="A14" s="84" t="s">
        <v>80</v>
      </c>
      <c r="B14" s="96">
        <v>250001</v>
      </c>
      <c r="C14" s="74"/>
      <c r="D14" s="129">
        <f>ROUNDDOWN(SUM(D15:D16),0)</f>
        <v>65625</v>
      </c>
      <c r="E14" s="74"/>
      <c r="F14" s="88"/>
      <c r="G14" s="89"/>
      <c r="H14" s="89"/>
      <c r="I14" s="95"/>
      <c r="J14" s="74"/>
      <c r="K14" s="74"/>
      <c r="L14" s="74"/>
      <c r="M14" s="74"/>
      <c r="N14" s="74"/>
      <c r="O14" s="74"/>
    </row>
    <row r="15" spans="1:15" ht="15" x14ac:dyDescent="0.15">
      <c r="A15" s="84"/>
      <c r="B15" s="74">
        <v>250000</v>
      </c>
      <c r="C15" s="121">
        <f>LOOKUP(A1,B73:O73,B85:O85)</f>
        <v>0.26250000000000001</v>
      </c>
      <c r="D15" s="74">
        <f>IF(B14&gt;B15,B15*C15,B14*C15)</f>
        <v>65625</v>
      </c>
      <c r="E15" s="74"/>
      <c r="F15" s="88"/>
      <c r="G15" s="89"/>
      <c r="H15" s="89"/>
      <c r="I15" s="95"/>
      <c r="J15" s="74"/>
      <c r="K15" s="74"/>
      <c r="L15" s="74"/>
      <c r="M15" s="74"/>
      <c r="N15" s="74"/>
      <c r="O15" s="74"/>
    </row>
    <row r="16" spans="1:15" ht="15" x14ac:dyDescent="0.15">
      <c r="A16" s="74"/>
      <c r="B16" s="89"/>
      <c r="C16" s="97">
        <v>0.25</v>
      </c>
      <c r="D16" s="74">
        <f>IF(B14&gt;B15,(B14-B15)*C16,0)</f>
        <v>0.25</v>
      </c>
      <c r="E16" s="74"/>
      <c r="F16" s="88"/>
      <c r="G16" s="89"/>
      <c r="H16" s="89"/>
      <c r="I16" s="95"/>
      <c r="J16" s="74"/>
      <c r="K16" s="74"/>
      <c r="L16" s="74"/>
      <c r="M16" s="74"/>
      <c r="N16" s="74"/>
      <c r="O16" s="74"/>
    </row>
    <row r="17" spans="1:15" ht="15" x14ac:dyDescent="0.15">
      <c r="A17" s="88"/>
      <c r="B17" s="89"/>
      <c r="C17" s="89"/>
      <c r="D17" s="95"/>
      <c r="E17" s="74"/>
      <c r="F17" s="88"/>
      <c r="G17" s="89"/>
      <c r="H17" s="89"/>
      <c r="I17" s="95"/>
      <c r="J17" s="74"/>
      <c r="K17" s="74"/>
      <c r="L17" s="74"/>
      <c r="M17" s="74"/>
      <c r="N17" s="74"/>
      <c r="O17" s="74"/>
    </row>
    <row r="18" spans="1:15" ht="15" x14ac:dyDescent="0.15">
      <c r="A18" s="84" t="s">
        <v>10</v>
      </c>
      <c r="B18" s="89"/>
      <c r="C18" s="89"/>
      <c r="D18" s="95"/>
      <c r="E18" s="74"/>
      <c r="F18" s="88"/>
      <c r="G18" s="89"/>
      <c r="H18" s="89"/>
      <c r="I18" s="95"/>
      <c r="J18" s="74"/>
      <c r="K18" s="74"/>
      <c r="L18" s="74"/>
      <c r="M18" s="74"/>
      <c r="N18" s="74"/>
      <c r="O18" s="74"/>
    </row>
    <row r="19" spans="1:15" ht="15" x14ac:dyDescent="0.15">
      <c r="A19" s="126">
        <f>'1'!E125</f>
        <v>0</v>
      </c>
      <c r="B19" s="89">
        <f>LOOKUP(A1,B87:O87,B88:O88)</f>
        <v>200000</v>
      </c>
      <c r="C19" s="97">
        <f>LOOKUP(A1,B87:O87,B89:O89)</f>
        <v>0.16500000000000001</v>
      </c>
      <c r="D19" s="94">
        <f>IF(A19&lt;B19,A19*C19,(B19*C19)+((A19-B19)*C20))</f>
        <v>0</v>
      </c>
      <c r="E19" s="74"/>
      <c r="F19" s="88"/>
      <c r="G19" s="89"/>
      <c r="H19" s="89"/>
      <c r="I19" s="95"/>
      <c r="J19" s="74"/>
      <c r="K19" s="74"/>
      <c r="L19" s="74"/>
      <c r="M19" s="74"/>
      <c r="N19" s="74"/>
      <c r="O19" s="74"/>
    </row>
    <row r="20" spans="1:15" ht="15" x14ac:dyDescent="0.15">
      <c r="A20" s="88"/>
      <c r="B20" s="89"/>
      <c r="C20" s="97">
        <f>LOOKUP(A1,B87:O87,B90:O90)</f>
        <v>0.25</v>
      </c>
      <c r="D20" s="95"/>
      <c r="E20" s="74"/>
      <c r="F20" s="88"/>
      <c r="G20" s="89"/>
      <c r="H20" s="89"/>
      <c r="I20" s="95"/>
      <c r="J20" s="74"/>
      <c r="K20" s="74"/>
      <c r="L20" s="74"/>
      <c r="M20" s="74"/>
      <c r="N20" s="74"/>
      <c r="O20" s="74"/>
    </row>
    <row r="21" spans="1:15" x14ac:dyDescent="0.15">
      <c r="A21" s="83" t="s">
        <v>81</v>
      </c>
      <c r="B21" s="74"/>
      <c r="C21" s="74"/>
      <c r="D21" s="74"/>
      <c r="E21" s="74"/>
      <c r="F21" s="82"/>
      <c r="G21" s="77"/>
      <c r="H21" s="74"/>
      <c r="I21" s="74"/>
      <c r="J21" s="74"/>
      <c r="K21" s="74"/>
      <c r="L21" s="74"/>
      <c r="M21" s="74"/>
      <c r="N21" s="74"/>
      <c r="O21" s="74"/>
    </row>
    <row r="22" spans="1:15" x14ac:dyDescent="0.15">
      <c r="A22" s="84" t="s">
        <v>82</v>
      </c>
      <c r="B22" s="85">
        <f>LOOKUP(A1,B73:O73,B92:O92)</f>
        <v>2711</v>
      </c>
      <c r="C22" s="85"/>
      <c r="D22" s="86"/>
      <c r="E22" s="74"/>
      <c r="F22" s="84"/>
      <c r="G22" s="85"/>
      <c r="H22" s="85"/>
      <c r="I22" s="86"/>
      <c r="J22" s="74"/>
      <c r="K22" s="74"/>
      <c r="L22" s="74"/>
      <c r="M22" s="74"/>
      <c r="N22" s="74"/>
      <c r="O22" s="74"/>
    </row>
    <row r="23" spans="1:15" x14ac:dyDescent="0.15">
      <c r="A23" s="88" t="s">
        <v>83</v>
      </c>
      <c r="B23" s="89">
        <f>LOOKUP(A1,B73:O73,B94:O94)</f>
        <v>0</v>
      </c>
      <c r="C23" s="89"/>
      <c r="D23" s="91"/>
      <c r="E23" s="74"/>
      <c r="F23" s="88"/>
      <c r="G23" s="89"/>
      <c r="H23" s="89"/>
      <c r="I23" s="91"/>
      <c r="J23" s="74"/>
      <c r="K23" s="74"/>
      <c r="L23" s="74"/>
      <c r="M23" s="74"/>
      <c r="N23" s="74"/>
      <c r="O23" s="74"/>
    </row>
    <row r="24" spans="1:15" ht="15" x14ac:dyDescent="0.15">
      <c r="A24" s="88" t="s">
        <v>84</v>
      </c>
      <c r="B24" s="89">
        <f>LOOKUP($A$1,$B$73:$O$73,B74:O74)</f>
        <v>20711</v>
      </c>
      <c r="C24" s="89">
        <f>LOOKUP($A$1,$B$73:$O$73,B93:O93)</f>
        <v>5.672E-2</v>
      </c>
      <c r="D24" s="94">
        <f ca="1">MIN(MAX(IF(A3&gt;B24,B22-((A3-B24)*C24),B22),B23),D12)</f>
        <v>0</v>
      </c>
      <c r="E24" s="74"/>
      <c r="F24" s="88"/>
      <c r="G24" s="89"/>
      <c r="H24" s="89"/>
      <c r="I24" s="95"/>
      <c r="J24" s="74"/>
      <c r="K24" s="74"/>
      <c r="L24" s="74"/>
      <c r="M24" s="74"/>
      <c r="N24" s="74"/>
      <c r="O24" s="74"/>
    </row>
    <row r="25" spans="1:15" x14ac:dyDescent="0.15">
      <c r="A25" s="88"/>
      <c r="B25" s="89"/>
      <c r="C25" s="89"/>
      <c r="D25" s="98"/>
      <c r="E25" s="89"/>
      <c r="F25" s="99"/>
      <c r="G25" s="91"/>
      <c r="H25" s="91"/>
      <c r="I25" s="74"/>
      <c r="J25" s="89"/>
      <c r="K25" s="89"/>
      <c r="L25" s="89"/>
      <c r="M25" s="98"/>
      <c r="N25" s="89"/>
      <c r="O25" s="100"/>
    </row>
    <row r="26" spans="1:15" x14ac:dyDescent="0.15">
      <c r="A26" s="88"/>
      <c r="B26" s="89"/>
      <c r="C26" s="89"/>
      <c r="D26" s="98"/>
      <c r="E26" s="89"/>
      <c r="F26" s="99"/>
      <c r="G26" s="91"/>
      <c r="H26" s="91"/>
      <c r="I26" s="74"/>
      <c r="J26" s="89"/>
      <c r="K26" s="89"/>
      <c r="L26" s="89"/>
      <c r="M26" s="98"/>
      <c r="N26" s="89"/>
      <c r="O26" s="100"/>
    </row>
    <row r="27" spans="1:15" x14ac:dyDescent="0.15">
      <c r="A27" s="84" t="s">
        <v>85</v>
      </c>
      <c r="B27" s="91">
        <f>A2</f>
        <v>0</v>
      </c>
      <c r="C27" s="89"/>
      <c r="D27" s="89"/>
      <c r="E27" s="89"/>
      <c r="F27" s="92"/>
      <c r="G27" s="89"/>
      <c r="H27" s="89"/>
      <c r="I27" s="89"/>
      <c r="J27" s="74"/>
      <c r="K27" s="89"/>
      <c r="L27" s="89"/>
      <c r="M27" s="89"/>
      <c r="N27" s="89"/>
      <c r="O27" s="89"/>
    </row>
    <row r="28" spans="1:15" x14ac:dyDescent="0.15">
      <c r="A28" s="88" t="s">
        <v>76</v>
      </c>
      <c r="B28" s="74">
        <f>LOOKUP($A$1,$B$96:$O$96,B97:O97)</f>
        <v>9921</v>
      </c>
      <c r="C28" s="74">
        <f>LOOKUP($A$1,$B$96:$O$96,B102:O102)</f>
        <v>2.8119999999999999E-2</v>
      </c>
      <c r="D28" s="91">
        <f>IF(B27&gt;$B28,$B28*$C28,B27*$C28)</f>
        <v>0</v>
      </c>
      <c r="E28" s="74"/>
      <c r="F28" s="92"/>
      <c r="G28" s="74"/>
      <c r="H28" s="74"/>
      <c r="I28" s="91"/>
      <c r="J28" s="74"/>
      <c r="K28" s="74"/>
      <c r="L28" s="74"/>
      <c r="M28" s="74"/>
      <c r="N28" s="74"/>
      <c r="O28" s="74"/>
    </row>
    <row r="29" spans="1:15" x14ac:dyDescent="0.15">
      <c r="A29" s="88" t="s">
        <v>77</v>
      </c>
      <c r="B29" s="74">
        <f>LOOKUP($A$1,$B$96:$O$96,B98:O98)</f>
        <v>21430</v>
      </c>
      <c r="C29" s="74">
        <f>LOOKUP($A$1,$B$96:$O$96,B103:O103)</f>
        <v>0.28811999999999999</v>
      </c>
      <c r="D29" s="91">
        <f>MAX(IF(B27&gt;$B29,($B29-$B28)*$C29,(B27-$B28)*$C29),0)</f>
        <v>0</v>
      </c>
      <c r="E29" s="85"/>
      <c r="F29" s="92"/>
      <c r="G29" s="74"/>
      <c r="H29" s="74"/>
      <c r="I29" s="91"/>
      <c r="J29" s="74"/>
      <c r="K29" s="85"/>
      <c r="L29" s="85"/>
      <c r="M29" s="85"/>
      <c r="N29" s="85"/>
      <c r="O29" s="85"/>
    </row>
    <row r="30" spans="1:15" x14ac:dyDescent="0.15">
      <c r="A30" s="88" t="s">
        <v>78</v>
      </c>
      <c r="B30" s="74">
        <f>LOOKUP($A$1,$B$96:$O$96,B99:O99)</f>
        <v>34954</v>
      </c>
      <c r="C30" s="74">
        <f>LOOKUP($A$1,$B$96:$O$96,B104:O104)</f>
        <v>1.6559999999999998E-2</v>
      </c>
      <c r="D30" s="91">
        <f>MAX(IF(B27&gt;$B30,($B30-$B29)*$C30,(B27-$B29)*$C30),0)</f>
        <v>0</v>
      </c>
      <c r="E30" s="89"/>
      <c r="F30" s="92"/>
      <c r="G30" s="74"/>
      <c r="H30" s="74"/>
      <c r="I30" s="91"/>
      <c r="J30" s="74"/>
      <c r="K30" s="89"/>
      <c r="L30" s="89"/>
      <c r="M30" s="98"/>
      <c r="N30" s="89"/>
      <c r="O30" s="100"/>
    </row>
    <row r="31" spans="1:15" x14ac:dyDescent="0.15">
      <c r="A31" s="88" t="s">
        <v>79</v>
      </c>
      <c r="B31" s="74">
        <f>LOOKUP($A$1,$B$96:$O$96,B100:O100)</f>
        <v>98604</v>
      </c>
      <c r="C31" s="74">
        <f>-1*(LOOKUP($A$1,$B$96:$O$96,B105:O105))</f>
        <v>-0.06</v>
      </c>
      <c r="D31" s="91">
        <f>IF(B27&lt;B30,0,IF(B27&gt;$B31,($B31-$B30)*$C31,(B27-$B30)*$C31))</f>
        <v>0</v>
      </c>
      <c r="E31" s="89"/>
      <c r="F31" s="92"/>
      <c r="G31" s="74"/>
      <c r="H31" s="74"/>
      <c r="I31" s="91"/>
      <c r="J31" s="74"/>
      <c r="K31" s="89"/>
      <c r="L31" s="89"/>
      <c r="M31" s="98"/>
      <c r="N31" s="89"/>
      <c r="O31" s="100"/>
    </row>
    <row r="32" spans="1:15" ht="15" x14ac:dyDescent="0.15">
      <c r="A32" s="88" t="s">
        <v>86</v>
      </c>
      <c r="B32" s="89">
        <f>LOOKUP($A$1,$B$96:$O$96,B107:O107)</f>
        <v>3819</v>
      </c>
      <c r="C32" s="89">
        <f>LOOKUP($A$1,$B$96:$O$96,B108:O108)</f>
        <v>0</v>
      </c>
      <c r="D32" s="94">
        <f>MAX(SUM(D28:D31),C32)</f>
        <v>0</v>
      </c>
      <c r="E32" s="89"/>
      <c r="F32" s="92"/>
      <c r="G32" s="89"/>
      <c r="H32" s="89"/>
      <c r="I32" s="95"/>
      <c r="J32" s="74"/>
      <c r="K32" s="89"/>
      <c r="L32" s="89"/>
      <c r="M32" s="98"/>
      <c r="N32" s="89"/>
      <c r="O32" s="100"/>
    </row>
    <row r="33" spans="1:15" x14ac:dyDescent="0.15">
      <c r="A33" s="88"/>
      <c r="B33" s="89"/>
      <c r="C33" s="89"/>
      <c r="D33" s="91"/>
      <c r="E33" s="89"/>
      <c r="F33" s="99"/>
      <c r="G33" s="91"/>
      <c r="H33" s="91"/>
      <c r="I33" s="74"/>
      <c r="J33" s="89"/>
      <c r="K33" s="89"/>
      <c r="L33" s="89"/>
      <c r="M33" s="98"/>
      <c r="N33" s="89"/>
      <c r="O33" s="100"/>
    </row>
    <row r="34" spans="1:15" x14ac:dyDescent="0.15">
      <c r="A34" s="88" t="s">
        <v>66</v>
      </c>
      <c r="B34" s="101">
        <f>'1'!E8</f>
        <v>0</v>
      </c>
      <c r="C34" s="89"/>
      <c r="D34" s="91"/>
      <c r="E34" s="89"/>
      <c r="F34" s="88"/>
      <c r="G34" s="89"/>
      <c r="H34" s="89"/>
      <c r="I34" s="91"/>
      <c r="J34" s="89"/>
      <c r="K34" s="89"/>
      <c r="L34" s="89"/>
      <c r="M34" s="98"/>
      <c r="N34" s="89"/>
      <c r="O34" s="100"/>
    </row>
    <row r="35" spans="1:15" ht="15" x14ac:dyDescent="0.15">
      <c r="A35" s="84" t="s">
        <v>87</v>
      </c>
      <c r="B35" s="90">
        <f>LOOKUP(A1,B73:O73,B110:O110)</f>
        <v>3.5000000000000003E-2</v>
      </c>
      <c r="C35" s="89">
        <f>IF(MAX(A3-B10,0)&gt;B34,B34,MAX((A3-B10),0))</f>
        <v>0</v>
      </c>
      <c r="D35" s="102">
        <f>ROUNDDOWN(B35*C35,0)</f>
        <v>0</v>
      </c>
      <c r="E35" s="89"/>
      <c r="F35" s="88"/>
      <c r="G35" s="90"/>
      <c r="H35" s="89"/>
      <c r="I35" s="103"/>
      <c r="J35" s="89"/>
      <c r="K35" s="89"/>
      <c r="L35" s="89"/>
      <c r="M35" s="98"/>
      <c r="N35" s="89"/>
      <c r="O35" s="100"/>
    </row>
    <row r="36" spans="1:15" x14ac:dyDescent="0.15">
      <c r="A36" s="88"/>
      <c r="B36" s="89"/>
      <c r="C36" s="89"/>
      <c r="D36" s="98"/>
      <c r="E36" s="89"/>
      <c r="F36" s="100"/>
      <c r="G36" s="91"/>
      <c r="H36" s="91"/>
      <c r="I36" s="74"/>
      <c r="J36" s="89"/>
      <c r="K36" s="89"/>
      <c r="L36" s="89"/>
      <c r="M36" s="98"/>
      <c r="N36" s="89"/>
      <c r="O36" s="100"/>
    </row>
    <row r="37" spans="1:15" ht="15" x14ac:dyDescent="0.15">
      <c r="A37" s="84" t="s">
        <v>88</v>
      </c>
      <c r="B37" s="104" t="b">
        <v>0</v>
      </c>
      <c r="C37" s="89">
        <f>IF(B37,LOOKUP(A1,B129:O129,B130:O130),0)</f>
        <v>0</v>
      </c>
      <c r="D37" s="105">
        <f>MIN(C37,A2)</f>
        <v>0</v>
      </c>
      <c r="E37" s="89"/>
      <c r="F37" s="100"/>
      <c r="G37" s="91"/>
      <c r="H37" s="91"/>
      <c r="I37" s="74"/>
      <c r="J37" s="89"/>
      <c r="K37" s="89"/>
      <c r="L37" s="89"/>
      <c r="M37" s="98"/>
      <c r="N37" s="89"/>
      <c r="O37" s="100"/>
    </row>
    <row r="38" spans="1:15" ht="15" x14ac:dyDescent="0.15">
      <c r="A38" s="84" t="s">
        <v>89</v>
      </c>
      <c r="B38" s="104"/>
      <c r="C38" s="89"/>
      <c r="D38" s="105">
        <f>IF(B38,LOOKUP(A1,B129:O129,B131:O131),0)</f>
        <v>0</v>
      </c>
      <c r="E38" s="89"/>
      <c r="F38" s="100"/>
      <c r="G38" s="91"/>
      <c r="H38" s="91"/>
      <c r="I38" s="74"/>
      <c r="J38" s="89"/>
      <c r="K38" s="89"/>
      <c r="L38" s="89"/>
      <c r="M38" s="98"/>
      <c r="N38" s="89"/>
      <c r="O38" s="100"/>
    </row>
    <row r="39" spans="1:15" ht="15" x14ac:dyDescent="0.15">
      <c r="A39" s="84"/>
      <c r="B39" s="106"/>
      <c r="C39" s="89"/>
      <c r="D39" s="107"/>
      <c r="E39" s="89"/>
      <c r="F39" s="100"/>
      <c r="G39" s="91"/>
      <c r="H39" s="91"/>
      <c r="I39" s="74"/>
      <c r="J39" s="89"/>
      <c r="K39" s="89"/>
      <c r="L39" s="89"/>
      <c r="M39" s="98"/>
      <c r="N39" s="89"/>
      <c r="O39" s="100"/>
    </row>
    <row r="40" spans="1:15" ht="15" x14ac:dyDescent="0.15">
      <c r="A40" s="84" t="s">
        <v>90</v>
      </c>
      <c r="B40" s="108">
        <f>A2-D37-D38-D50</f>
        <v>0</v>
      </c>
      <c r="C40" s="89">
        <f>LOOKUP(A1,B134:O134,B135:O135)</f>
        <v>0.14000000000000001</v>
      </c>
      <c r="D40" s="111">
        <f>ROUNDUP(C40*B40,0)</f>
        <v>0</v>
      </c>
      <c r="E40" s="89"/>
      <c r="F40" s="100"/>
      <c r="G40" s="91"/>
      <c r="H40" s="91"/>
      <c r="I40" s="74"/>
      <c r="J40" s="89"/>
      <c r="K40" s="89"/>
      <c r="L40" s="89"/>
      <c r="M40" s="98"/>
      <c r="N40" s="89"/>
      <c r="O40" s="100"/>
    </row>
    <row r="41" spans="1:15" ht="15" x14ac:dyDescent="0.15">
      <c r="A41" s="88"/>
      <c r="B41" s="106"/>
      <c r="C41" s="89"/>
      <c r="D41" s="107"/>
      <c r="E41" s="89"/>
      <c r="F41" s="100"/>
      <c r="G41" s="91"/>
      <c r="H41" s="91"/>
      <c r="I41" s="74"/>
      <c r="J41" s="89"/>
      <c r="K41" s="89"/>
      <c r="L41" s="89"/>
      <c r="M41" s="98"/>
      <c r="N41" s="89"/>
      <c r="O41" s="100"/>
    </row>
    <row r="42" spans="1:15" x14ac:dyDescent="0.15">
      <c r="A42" s="84" t="s">
        <v>91</v>
      </c>
      <c r="B42" s="89">
        <f>LOOKUP(A1,B113:O113,B114:O114)</f>
        <v>5072</v>
      </c>
      <c r="C42" s="89">
        <f>LOOKUP(A1,B113:O113,B116:O116)</f>
        <v>0.11449999999999999</v>
      </c>
      <c r="D42" s="109">
        <f>ROUNDUP(IF(A3&gt;B42,(C42*(A3-B42))+B43,B43),0)</f>
        <v>0</v>
      </c>
      <c r="E42" s="89"/>
      <c r="F42" s="100"/>
      <c r="G42" s="91"/>
      <c r="H42" s="91"/>
      <c r="I42" s="74"/>
      <c r="J42" s="89"/>
      <c r="K42" s="89"/>
      <c r="L42" s="89"/>
      <c r="M42" s="98"/>
      <c r="N42" s="89"/>
      <c r="O42" s="100"/>
    </row>
    <row r="43" spans="1:15" x14ac:dyDescent="0.15">
      <c r="A43" s="88" t="s">
        <v>92</v>
      </c>
      <c r="B43" s="89">
        <f>LOOKUP($A$1,$B$113:$O$113,B117:O117)</f>
        <v>0</v>
      </c>
      <c r="C43" s="89"/>
      <c r="D43" s="109"/>
      <c r="E43" s="89"/>
      <c r="F43" s="100"/>
      <c r="G43" s="91"/>
      <c r="H43" s="91"/>
      <c r="I43" s="74"/>
      <c r="J43" s="89"/>
      <c r="K43" s="89"/>
      <c r="L43" s="89"/>
      <c r="M43" s="98"/>
      <c r="N43" s="89"/>
      <c r="O43" s="100"/>
    </row>
    <row r="44" spans="1:15" ht="15" x14ac:dyDescent="0.15">
      <c r="A44" s="88" t="s">
        <v>93</v>
      </c>
      <c r="B44" s="89">
        <f>LOOKUP($A$1,$B$113:$O$113,B118:O118)</f>
        <v>2881</v>
      </c>
      <c r="C44" s="89"/>
      <c r="D44" s="102">
        <f>MIN(D42,B44)</f>
        <v>0</v>
      </c>
      <c r="E44" s="89"/>
      <c r="F44" s="100"/>
      <c r="G44" s="91"/>
      <c r="H44" s="91"/>
      <c r="I44" s="74"/>
      <c r="J44" s="89"/>
      <c r="K44" s="89"/>
      <c r="L44" s="89"/>
      <c r="M44" s="98"/>
      <c r="N44" s="89"/>
      <c r="O44" s="100"/>
    </row>
    <row r="45" spans="1:15" x14ac:dyDescent="0.15">
      <c r="A45" s="88"/>
      <c r="B45" s="89"/>
      <c r="C45" s="89"/>
      <c r="D45" s="98"/>
      <c r="E45" s="89"/>
      <c r="F45" s="100"/>
      <c r="G45" s="91"/>
      <c r="H45" s="91"/>
      <c r="I45" s="74"/>
      <c r="J45" s="89"/>
      <c r="K45" s="89"/>
      <c r="L45" s="89"/>
      <c r="M45" s="98"/>
      <c r="N45" s="89"/>
      <c r="O45" s="100"/>
    </row>
    <row r="46" spans="1:15" ht="15" x14ac:dyDescent="0.15">
      <c r="A46" s="84" t="s">
        <v>94</v>
      </c>
      <c r="B46" s="89">
        <f>LOOKUP(A1,B120:O120,B123:O123)</f>
        <v>57232</v>
      </c>
      <c r="C46" s="89">
        <f>LOOKUP(A1,B120:O120,B122:O122)</f>
        <v>5.45E-2</v>
      </c>
      <c r="D46" s="102">
        <f>IF($A$3&gt;B46,B46*C46,A3*C46)</f>
        <v>0</v>
      </c>
      <c r="E46" s="89"/>
      <c r="F46" s="100"/>
      <c r="G46" s="91"/>
      <c r="H46" s="91"/>
      <c r="I46" s="74"/>
      <c r="J46" s="89"/>
      <c r="K46" s="89"/>
      <c r="L46" s="89"/>
      <c r="M46" s="98"/>
      <c r="N46" s="89"/>
      <c r="O46" s="100"/>
    </row>
    <row r="47" spans="1:15" ht="15" x14ac:dyDescent="0.15">
      <c r="A47" s="84" t="s">
        <v>95</v>
      </c>
      <c r="B47" s="89">
        <f>LOOKUP(A1,B120:O120,B123:O123)</f>
        <v>57232</v>
      </c>
      <c r="C47" s="89">
        <f>LOOKUP(A1,B120:O120,B121:O121)</f>
        <v>6.7000000000000004E-2</v>
      </c>
      <c r="D47" s="102">
        <f>IF($A$3&gt;B47,B47*C47,A3*C47)</f>
        <v>0</v>
      </c>
      <c r="E47" s="89"/>
      <c r="F47" s="100"/>
      <c r="G47" s="91"/>
      <c r="H47" s="91"/>
      <c r="I47" s="74"/>
      <c r="J47" s="89"/>
      <c r="K47" s="89"/>
      <c r="L47" s="89"/>
      <c r="M47" s="98"/>
      <c r="N47" s="89"/>
      <c r="O47" s="100"/>
    </row>
    <row r="48" spans="1:15" x14ac:dyDescent="0.15">
      <c r="A48" s="88"/>
      <c r="B48" s="89"/>
      <c r="C48" s="89"/>
      <c r="D48" s="98"/>
      <c r="E48" s="89"/>
      <c r="F48" s="100"/>
      <c r="G48" s="91"/>
      <c r="H48" s="91"/>
      <c r="I48" s="74"/>
      <c r="J48" s="89"/>
      <c r="K48" s="89"/>
      <c r="L48" s="89"/>
      <c r="M48" s="98"/>
      <c r="N48" s="89"/>
      <c r="O48" s="100"/>
    </row>
    <row r="49" spans="1:15" x14ac:dyDescent="0.15">
      <c r="A49" s="84" t="s">
        <v>96</v>
      </c>
      <c r="B49" s="89">
        <f>LOOKUP(A1,B125:O125,B127:O127)</f>
        <v>9218</v>
      </c>
      <c r="C49" s="89">
        <f>LOOKUP(A1,B125:O125,B126:O126)</f>
        <v>9.4399999999999998E-2</v>
      </c>
      <c r="D49" s="133">
        <f>MIN(A2*C49,B49)</f>
        <v>0</v>
      </c>
      <c r="E49" s="89"/>
      <c r="F49" s="100"/>
      <c r="G49" s="91"/>
      <c r="H49" s="91"/>
      <c r="I49" s="74"/>
      <c r="J49" s="89"/>
      <c r="K49" s="89"/>
      <c r="L49" s="89"/>
      <c r="M49" s="98"/>
      <c r="N49" s="89"/>
      <c r="O49" s="100"/>
    </row>
    <row r="50" spans="1:15" ht="15" x14ac:dyDescent="0.15">
      <c r="A50" s="88" t="b">
        <v>0</v>
      </c>
      <c r="B50" s="89">
        <f>B37*A50</f>
        <v>0</v>
      </c>
      <c r="C50" s="89"/>
      <c r="D50" s="102">
        <f>IF(B50=1,D49,0)</f>
        <v>0</v>
      </c>
      <c r="E50" s="89"/>
      <c r="F50" s="100"/>
      <c r="G50" s="91"/>
      <c r="H50" s="91"/>
      <c r="I50" s="74"/>
      <c r="J50" s="89"/>
      <c r="K50" s="89"/>
      <c r="L50" s="89"/>
      <c r="M50" s="98"/>
      <c r="N50" s="89"/>
      <c r="O50" s="100"/>
    </row>
    <row r="51" spans="1:15" x14ac:dyDescent="0.15">
      <c r="A51" s="88"/>
      <c r="B51" s="89"/>
      <c r="C51" s="89"/>
      <c r="D51" s="98"/>
      <c r="E51" s="89"/>
      <c r="F51" s="100"/>
      <c r="G51" s="91"/>
      <c r="H51" s="91"/>
      <c r="I51" s="74"/>
      <c r="J51" s="89"/>
      <c r="K51" s="89"/>
      <c r="L51" s="89"/>
      <c r="M51" s="98"/>
      <c r="N51" s="89"/>
      <c r="O51" s="100"/>
    </row>
    <row r="52" spans="1:15" ht="15" x14ac:dyDescent="0.15">
      <c r="A52" s="84" t="s">
        <v>8</v>
      </c>
      <c r="B52" s="101">
        <f>'1'!E7</f>
        <v>0</v>
      </c>
      <c r="C52" s="89"/>
      <c r="D52" s="94">
        <f>SUM(D53:D57)</f>
        <v>0</v>
      </c>
      <c r="E52" s="89"/>
      <c r="F52" s="100"/>
      <c r="G52" s="91"/>
      <c r="H52" s="91"/>
      <c r="I52" s="74"/>
      <c r="J52" s="89"/>
      <c r="K52" s="89"/>
      <c r="L52" s="89"/>
      <c r="M52" s="98"/>
      <c r="N52" s="89"/>
      <c r="O52" s="100"/>
    </row>
    <row r="53" spans="1:15" x14ac:dyDescent="0.15">
      <c r="A53" s="88" t="s">
        <v>76</v>
      </c>
      <c r="B53" s="89">
        <f>A139</f>
        <v>12500</v>
      </c>
      <c r="C53" s="90">
        <f>LOOKUP($A$1,$B$137:$O$137,B139:O139)</f>
        <v>2E-3</v>
      </c>
      <c r="D53" s="110">
        <f>IF($B$52&lt;B53,0,IF($B$52&lt;B54,$B$52*C53,0))</f>
        <v>0</v>
      </c>
      <c r="E53" s="89"/>
      <c r="F53" s="100"/>
      <c r="G53" s="91"/>
      <c r="H53" s="91"/>
      <c r="I53" s="74"/>
      <c r="J53" s="89"/>
      <c r="K53" s="89"/>
      <c r="L53" s="89"/>
      <c r="M53" s="98"/>
      <c r="N53" s="89"/>
      <c r="O53" s="100"/>
    </row>
    <row r="54" spans="1:15" x14ac:dyDescent="0.15">
      <c r="A54" s="88" t="s">
        <v>77</v>
      </c>
      <c r="B54" s="89">
        <f>A140</f>
        <v>25000</v>
      </c>
      <c r="C54" s="90">
        <f>LOOKUP($A$1,$B$137:$O$137,B140:O140)</f>
        <v>3.5000000000000001E-3</v>
      </c>
      <c r="D54" s="110">
        <f>IF($B$52&lt;B54,0,IF($B$52&lt;B55,$B$52*C54,0))</f>
        <v>0</v>
      </c>
      <c r="E54" s="89"/>
      <c r="F54" s="100"/>
      <c r="G54" s="91"/>
      <c r="H54" s="91"/>
      <c r="I54" s="74"/>
      <c r="J54" s="89"/>
      <c r="K54" s="89"/>
      <c r="L54" s="89"/>
      <c r="M54" s="98"/>
      <c r="N54" s="89"/>
      <c r="O54" s="100"/>
    </row>
    <row r="55" spans="1:15" x14ac:dyDescent="0.15">
      <c r="A55" s="88" t="s">
        <v>78</v>
      </c>
      <c r="B55" s="89">
        <f>A141</f>
        <v>50000</v>
      </c>
      <c r="C55" s="90">
        <f>LOOKUP($A$1,$B$137:$O$137,B141:O141)</f>
        <v>4.4999999999999997E-3</v>
      </c>
      <c r="D55" s="110">
        <f>IF($B$52&lt;B55,0,IF($B$52&lt;B56,$B$52*C55,0))</f>
        <v>0</v>
      </c>
      <c r="E55" s="89"/>
      <c r="F55" s="100"/>
      <c r="G55" s="91"/>
      <c r="H55" s="91"/>
      <c r="I55" s="74"/>
      <c r="J55" s="89"/>
      <c r="K55" s="89"/>
      <c r="L55" s="89"/>
      <c r="M55" s="98"/>
      <c r="N55" s="89"/>
      <c r="O55" s="100"/>
    </row>
    <row r="56" spans="1:15" x14ac:dyDescent="0.15">
      <c r="A56" s="88" t="s">
        <v>79</v>
      </c>
      <c r="B56" s="89">
        <f>A142</f>
        <v>75000</v>
      </c>
      <c r="C56" s="90">
        <f>LOOKUP($A$1,$B$137:$O$137,B142:O142)</f>
        <v>6.0000000000000001E-3</v>
      </c>
      <c r="D56" s="110">
        <f>IF($B$52&lt;B56,0,IF($B$52&lt;B57,$B$52*C56,0))</f>
        <v>0</v>
      </c>
      <c r="E56" s="89"/>
      <c r="F56" s="100"/>
      <c r="G56" s="91"/>
      <c r="H56" s="91"/>
      <c r="I56" s="74"/>
      <c r="J56" s="89"/>
      <c r="K56" s="89"/>
      <c r="L56" s="89"/>
      <c r="M56" s="98"/>
      <c r="N56" s="89"/>
      <c r="O56" s="100"/>
    </row>
    <row r="57" spans="1:15" x14ac:dyDescent="0.15">
      <c r="A57" s="88" t="s">
        <v>97</v>
      </c>
      <c r="B57" s="89">
        <f>A143</f>
        <v>1090000</v>
      </c>
      <c r="C57" s="90">
        <f>LOOKUP($A$1,$B$137:$O$137,B143:O143)</f>
        <v>2.35E-2</v>
      </c>
      <c r="D57" s="110">
        <f>IF($B$52&gt;B57,(C56*B57)+(C57*(B52-B57)),0)</f>
        <v>0</v>
      </c>
      <c r="E57" s="89"/>
      <c r="F57" s="100"/>
      <c r="G57" s="91"/>
      <c r="H57" s="91"/>
      <c r="I57" s="74"/>
      <c r="J57" s="89"/>
      <c r="K57" s="89"/>
      <c r="L57" s="89"/>
      <c r="M57" s="98"/>
      <c r="N57" s="89"/>
      <c r="O57" s="100"/>
    </row>
    <row r="58" spans="1:15" x14ac:dyDescent="0.15">
      <c r="A58" s="88"/>
      <c r="B58" s="89"/>
      <c r="C58" s="89"/>
      <c r="D58" s="98"/>
      <c r="E58" s="89"/>
      <c r="F58" s="100"/>
      <c r="G58" s="91"/>
      <c r="H58" s="91"/>
      <c r="I58" s="74"/>
      <c r="J58" s="89"/>
      <c r="K58" s="89"/>
      <c r="L58" s="89"/>
      <c r="M58" s="98"/>
      <c r="N58" s="89"/>
      <c r="O58" s="100"/>
    </row>
    <row r="59" spans="1:15" ht="15" x14ac:dyDescent="0.15">
      <c r="A59" s="84" t="s">
        <v>21</v>
      </c>
      <c r="B59" s="101">
        <f>'1'!E28</f>
        <v>0</v>
      </c>
      <c r="C59" s="89"/>
      <c r="D59" s="111">
        <f>SUM(D60:D63)</f>
        <v>0</v>
      </c>
      <c r="E59" s="89"/>
      <c r="F59" s="100"/>
      <c r="G59" s="91"/>
      <c r="H59" s="91"/>
      <c r="I59" s="74"/>
      <c r="J59" s="89"/>
      <c r="K59" s="89"/>
      <c r="L59" s="89"/>
      <c r="M59" s="98"/>
      <c r="N59" s="89"/>
      <c r="O59" s="100"/>
    </row>
    <row r="60" spans="1:15" x14ac:dyDescent="0.15">
      <c r="A60" s="88" t="s">
        <v>76</v>
      </c>
      <c r="B60" s="89">
        <v>525</v>
      </c>
      <c r="C60" s="98">
        <v>1.2500000000000001E-2</v>
      </c>
      <c r="D60" s="110">
        <f>IF($B$59&lt;B60,0,IF($B$59&lt;B61,$A$2*C60,0))</f>
        <v>0</v>
      </c>
      <c r="E60" s="89"/>
      <c r="F60" s="100"/>
      <c r="G60" s="91"/>
      <c r="H60" s="91"/>
      <c r="I60" s="74"/>
      <c r="J60" s="89"/>
      <c r="K60" s="89"/>
      <c r="L60" s="89"/>
      <c r="M60" s="98"/>
      <c r="N60" s="89"/>
      <c r="O60" s="100"/>
    </row>
    <row r="61" spans="1:15" x14ac:dyDescent="0.15">
      <c r="A61" s="88" t="s">
        <v>77</v>
      </c>
      <c r="B61" s="89">
        <v>875</v>
      </c>
      <c r="C61" s="97">
        <v>0.02</v>
      </c>
      <c r="D61" s="110">
        <f>IF($B$59&lt;B61,0,IF($B$59&lt;B62,$A$2*C61,0))</f>
        <v>0</v>
      </c>
      <c r="E61" s="89"/>
      <c r="F61" s="100"/>
      <c r="G61" s="91"/>
      <c r="H61" s="91"/>
      <c r="I61" s="74"/>
      <c r="J61" s="89"/>
      <c r="K61" s="89"/>
      <c r="L61" s="89"/>
      <c r="M61" s="98"/>
      <c r="N61" s="89"/>
      <c r="O61" s="100"/>
    </row>
    <row r="62" spans="1:15" x14ac:dyDescent="0.15">
      <c r="A62" s="88" t="s">
        <v>78</v>
      </c>
      <c r="B62" s="89">
        <v>1225</v>
      </c>
      <c r="C62" s="97">
        <v>0.03</v>
      </c>
      <c r="D62" s="110">
        <f>IF($B$59&lt;B62,0,IF($B$59&lt;B63,$A$2*C62,0))</f>
        <v>0</v>
      </c>
      <c r="E62" s="89"/>
      <c r="F62" s="100"/>
      <c r="G62" s="91"/>
      <c r="H62" s="91"/>
      <c r="I62" s="74"/>
      <c r="J62" s="89"/>
      <c r="K62" s="89"/>
      <c r="L62" s="89"/>
      <c r="M62" s="98"/>
      <c r="N62" s="89"/>
      <c r="O62" s="100"/>
    </row>
    <row r="63" spans="1:15" x14ac:dyDescent="0.15">
      <c r="A63" s="88" t="s">
        <v>79</v>
      </c>
      <c r="B63" s="89">
        <v>1750</v>
      </c>
      <c r="C63" s="97">
        <v>0.04</v>
      </c>
      <c r="D63" s="110">
        <f>IF($B$59&lt;B63,0,$A$2*C63)</f>
        <v>0</v>
      </c>
      <c r="E63" s="89"/>
      <c r="F63" s="100"/>
      <c r="G63" s="91"/>
      <c r="H63" s="91"/>
      <c r="I63" s="74"/>
      <c r="J63" s="89"/>
      <c r="K63" s="89"/>
      <c r="L63" s="89"/>
      <c r="M63" s="98"/>
      <c r="N63" s="89"/>
      <c r="O63" s="100"/>
    </row>
    <row r="64" spans="1:15" x14ac:dyDescent="0.15">
      <c r="A64" s="88"/>
      <c r="B64" s="89"/>
      <c r="C64" s="89"/>
      <c r="D64" s="98"/>
      <c r="E64" s="89"/>
      <c r="F64" s="100"/>
      <c r="G64" s="91"/>
      <c r="H64" s="91"/>
      <c r="I64" s="74"/>
      <c r="J64" s="89"/>
      <c r="K64" s="89"/>
      <c r="L64" s="89"/>
      <c r="M64" s="98"/>
      <c r="N64" s="89"/>
      <c r="O64" s="100"/>
    </row>
    <row r="65" spans="1:20" ht="15" x14ac:dyDescent="0.15">
      <c r="A65" s="84" t="s">
        <v>98</v>
      </c>
      <c r="B65" s="89"/>
      <c r="C65" s="89"/>
      <c r="D65" s="112">
        <f ca="1">(1/(1+B66))^(B68-B67)</f>
        <v>0.62609949296284806</v>
      </c>
      <c r="E65" s="89"/>
      <c r="F65" s="100"/>
      <c r="G65" s="91"/>
      <c r="H65" s="91"/>
      <c r="I65" s="74"/>
      <c r="J65" s="89"/>
      <c r="K65" s="89"/>
      <c r="L65" s="89"/>
      <c r="M65" s="98"/>
      <c r="N65" s="89"/>
      <c r="O65" s="100"/>
    </row>
    <row r="66" spans="1:20" x14ac:dyDescent="0.15">
      <c r="A66" s="88" t="s">
        <v>99</v>
      </c>
      <c r="B66" s="113">
        <f>'1'!E15</f>
        <v>0.01</v>
      </c>
      <c r="C66" s="89"/>
      <c r="D66" s="98"/>
      <c r="E66" s="89"/>
      <c r="F66" s="100"/>
      <c r="G66" s="91"/>
      <c r="H66" s="91"/>
      <c r="I66" s="74"/>
      <c r="J66" s="89"/>
      <c r="K66" s="89"/>
      <c r="L66" s="89"/>
      <c r="M66" s="98"/>
      <c r="N66" s="89"/>
      <c r="O66" s="100"/>
    </row>
    <row r="67" spans="1:20" x14ac:dyDescent="0.15">
      <c r="A67" s="88" t="s">
        <v>100</v>
      </c>
      <c r="B67" s="114">
        <f ca="1">YEARFRAC(A4,C67)</f>
        <v>20.191666666666666</v>
      </c>
      <c r="C67" s="141">
        <f ca="1">TODAY()</f>
        <v>43900</v>
      </c>
      <c r="D67" s="98"/>
      <c r="E67" s="89"/>
      <c r="F67" s="100"/>
      <c r="G67" s="91"/>
      <c r="H67" s="91"/>
      <c r="I67" s="74"/>
      <c r="J67" s="89"/>
      <c r="K67" s="89"/>
      <c r="L67" s="89"/>
      <c r="M67" s="98"/>
      <c r="N67" s="89"/>
      <c r="O67" s="100"/>
    </row>
    <row r="68" spans="1:20" x14ac:dyDescent="0.15">
      <c r="A68" s="88" t="s">
        <v>101</v>
      </c>
      <c r="B68" s="131">
        <f>'1'!E18</f>
        <v>67.25</v>
      </c>
      <c r="C68" s="89"/>
      <c r="D68" s="98"/>
      <c r="E68" s="89"/>
      <c r="F68" s="100"/>
      <c r="G68" s="91"/>
      <c r="H68" s="91"/>
      <c r="I68" s="74"/>
      <c r="J68" s="89"/>
      <c r="K68" s="89"/>
      <c r="L68" s="89"/>
      <c r="M68" s="98"/>
      <c r="N68" s="89"/>
      <c r="O68" s="100"/>
    </row>
    <row r="69" spans="1:20" x14ac:dyDescent="0.15">
      <c r="A69" s="88"/>
      <c r="B69" s="89"/>
      <c r="C69" s="89"/>
      <c r="D69" s="98"/>
      <c r="E69" s="89"/>
      <c r="F69" s="100"/>
      <c r="G69" s="91"/>
      <c r="H69" s="91"/>
      <c r="I69" s="74"/>
      <c r="J69" s="89"/>
      <c r="K69" s="89"/>
      <c r="L69" s="89"/>
      <c r="M69" s="98"/>
      <c r="N69" s="89"/>
      <c r="O69" s="100"/>
    </row>
    <row r="70" spans="1:20" ht="15" x14ac:dyDescent="0.15">
      <c r="A70" s="115" t="s">
        <v>102</v>
      </c>
      <c r="B70" s="89"/>
      <c r="C70" s="89"/>
      <c r="D70" s="89"/>
      <c r="E70" s="89"/>
      <c r="F70" s="89"/>
      <c r="G70" s="116"/>
      <c r="H70" s="116"/>
      <c r="I70" s="74"/>
      <c r="J70" s="89"/>
      <c r="K70" s="89"/>
      <c r="L70" s="89"/>
      <c r="M70" s="89"/>
      <c r="N70" s="89"/>
      <c r="O70" s="89"/>
    </row>
    <row r="71" spans="1:20" x14ac:dyDescent="0.15">
      <c r="A71" s="82"/>
      <c r="B71" s="74"/>
      <c r="C71" s="74"/>
      <c r="D71" s="74"/>
      <c r="E71" s="74"/>
      <c r="F71" s="77"/>
      <c r="G71" s="77"/>
      <c r="H71" s="74"/>
      <c r="I71" s="74"/>
      <c r="J71" s="74"/>
      <c r="K71" s="74"/>
      <c r="L71" s="74"/>
      <c r="M71" s="74"/>
      <c r="N71" s="74"/>
      <c r="O71" s="74"/>
    </row>
    <row r="72" spans="1:20" x14ac:dyDescent="0.15">
      <c r="A72" s="211" t="s">
        <v>29</v>
      </c>
      <c r="B72" s="200"/>
      <c r="C72" s="200"/>
      <c r="D72" s="200"/>
      <c r="E72" s="201"/>
      <c r="F72" s="201"/>
      <c r="G72" s="183"/>
      <c r="H72" s="200"/>
      <c r="I72" s="200"/>
      <c r="J72" s="200"/>
      <c r="K72" s="200"/>
      <c r="L72" s="200"/>
      <c r="M72" s="200"/>
      <c r="N72" s="201"/>
      <c r="O72" s="201"/>
    </row>
    <row r="73" spans="1:20" x14ac:dyDescent="0.15">
      <c r="A73" s="211"/>
      <c r="B73" s="181">
        <v>2012</v>
      </c>
      <c r="C73" s="181">
        <v>2013</v>
      </c>
      <c r="D73" s="181">
        <v>2014</v>
      </c>
      <c r="E73" s="181">
        <v>2015</v>
      </c>
      <c r="F73" s="181">
        <v>2016</v>
      </c>
      <c r="G73" s="181">
        <v>2017</v>
      </c>
      <c r="H73" s="181">
        <v>2018</v>
      </c>
      <c r="I73" s="181">
        <v>2019</v>
      </c>
      <c r="J73" s="181">
        <v>2020</v>
      </c>
      <c r="K73" s="181">
        <v>2021</v>
      </c>
      <c r="L73" s="181">
        <v>2022</v>
      </c>
      <c r="M73" s="181">
        <v>2023</v>
      </c>
      <c r="N73" s="181">
        <v>2024</v>
      </c>
      <c r="O73" s="181">
        <v>2025</v>
      </c>
      <c r="P73"/>
      <c r="Q73"/>
      <c r="R73"/>
      <c r="S73"/>
      <c r="T73"/>
    </row>
    <row r="74" spans="1:20" x14ac:dyDescent="0.15">
      <c r="A74" s="212" t="s">
        <v>103</v>
      </c>
      <c r="B74" s="182">
        <v>18945</v>
      </c>
      <c r="C74" s="182">
        <v>19645</v>
      </c>
      <c r="D74" s="182">
        <v>19645</v>
      </c>
      <c r="E74" s="182">
        <v>19822</v>
      </c>
      <c r="F74" s="182">
        <v>19922</v>
      </c>
      <c r="G74" s="182">
        <v>19982</v>
      </c>
      <c r="H74" s="182">
        <v>20142</v>
      </c>
      <c r="I74" s="182">
        <v>20384</v>
      </c>
      <c r="J74" s="182">
        <v>20711</v>
      </c>
      <c r="K74" s="182">
        <v>20939</v>
      </c>
      <c r="L74" s="182"/>
      <c r="M74" s="182"/>
      <c r="N74" s="182"/>
      <c r="O74" s="182"/>
      <c r="P74"/>
      <c r="Q74"/>
      <c r="R74"/>
      <c r="S74"/>
      <c r="T74"/>
    </row>
    <row r="75" spans="1:20" x14ac:dyDescent="0.15">
      <c r="A75" s="212"/>
      <c r="B75" s="182">
        <f>IF($A$4&lt;1946-1-1,34055,33863)</f>
        <v>33863</v>
      </c>
      <c r="C75" s="182">
        <f>IF($A$4&lt;1946-1-1,33555,33363)</f>
        <v>33363</v>
      </c>
      <c r="D75" s="182">
        <f>IF($A$4&lt;1946-1-1,33555,33363)</f>
        <v>33363</v>
      </c>
      <c r="E75" s="182">
        <f>IF($A$4&lt;1946-1-1,33857,33589)</f>
        <v>33589</v>
      </c>
      <c r="F75" s="182">
        <f>IF($A$4&lt;1946-1-1,34027,33715)</f>
        <v>33715</v>
      </c>
      <c r="G75" s="182">
        <f>IF($A$4&lt;1946-1-1,34130,33791)</f>
        <v>33791</v>
      </c>
      <c r="H75" s="182">
        <f>IF($A$4&lt;1946-1-1,34404,33994)</f>
        <v>33994</v>
      </c>
      <c r="I75" s="182">
        <f>IF($A$4&lt;1946-1-1,34817,34300)</f>
        <v>34300</v>
      </c>
      <c r="J75" s="182">
        <f>IF($A$4&lt;1946-1-1,35375,34712)</f>
        <v>34712</v>
      </c>
      <c r="K75" s="182">
        <f>IF($A$4&lt;1946-1-1,35765,34999)</f>
        <v>34999</v>
      </c>
      <c r="L75" s="182"/>
      <c r="M75" s="182"/>
      <c r="N75" s="182"/>
      <c r="O75" s="182"/>
      <c r="P75"/>
      <c r="Q75"/>
      <c r="R75"/>
      <c r="S75"/>
      <c r="T75"/>
    </row>
    <row r="76" spans="1:20" x14ac:dyDescent="0.15">
      <c r="A76" s="212"/>
      <c r="B76" s="182">
        <v>56491</v>
      </c>
      <c r="C76" s="182">
        <v>55991</v>
      </c>
      <c r="D76" s="182">
        <v>56531</v>
      </c>
      <c r="E76" s="182">
        <v>57585</v>
      </c>
      <c r="F76" s="182">
        <v>66421</v>
      </c>
      <c r="G76" s="182">
        <v>67072</v>
      </c>
      <c r="H76" s="182">
        <v>68507</v>
      </c>
      <c r="I76" s="182">
        <v>68507</v>
      </c>
      <c r="J76" s="182">
        <v>68507</v>
      </c>
      <c r="K76" s="182">
        <v>68507</v>
      </c>
      <c r="L76" s="182"/>
      <c r="M76" s="182"/>
      <c r="N76" s="182"/>
      <c r="O76" s="182"/>
      <c r="P76"/>
      <c r="Q76"/>
      <c r="R76"/>
      <c r="S76"/>
      <c r="T76"/>
    </row>
    <row r="77" spans="1:20" x14ac:dyDescent="0.15">
      <c r="A77" s="212"/>
      <c r="B77" s="183"/>
      <c r="C77" s="183"/>
      <c r="D77" s="183"/>
      <c r="E77" s="183"/>
      <c r="F77" s="183"/>
      <c r="G77" s="183"/>
      <c r="H77" s="183"/>
      <c r="I77" s="183"/>
      <c r="J77" s="183"/>
      <c r="K77" s="183"/>
      <c r="L77" s="183"/>
      <c r="M77" s="183"/>
      <c r="N77" s="183"/>
      <c r="O77" s="183"/>
      <c r="P77"/>
      <c r="Q77"/>
      <c r="R77"/>
      <c r="S77"/>
      <c r="T77"/>
    </row>
    <row r="78" spans="1:20" x14ac:dyDescent="0.15">
      <c r="A78" s="212" t="s">
        <v>104</v>
      </c>
      <c r="B78" s="184">
        <v>17168</v>
      </c>
      <c r="C78" s="185">
        <v>17533</v>
      </c>
      <c r="D78" s="184">
        <v>17868</v>
      </c>
      <c r="E78" s="184">
        <v>18203</v>
      </c>
      <c r="F78" s="184">
        <v>18537</v>
      </c>
      <c r="G78" s="184">
        <v>18810</v>
      </c>
      <c r="H78" s="184">
        <v>19085</v>
      </c>
      <c r="I78" s="184">
        <v>19360</v>
      </c>
      <c r="J78" s="184">
        <v>19603</v>
      </c>
      <c r="K78" s="184">
        <v>19968</v>
      </c>
      <c r="L78" s="184">
        <v>20333</v>
      </c>
      <c r="M78" s="184">
        <v>20729</v>
      </c>
      <c r="N78" s="184">
        <v>20880</v>
      </c>
      <c r="O78" s="184">
        <v>21186</v>
      </c>
      <c r="P78"/>
      <c r="Q78"/>
      <c r="R78"/>
      <c r="S78"/>
      <c r="T78"/>
    </row>
    <row r="79" spans="1:20" x14ac:dyDescent="0.15">
      <c r="A79" s="212" t="s">
        <v>105</v>
      </c>
      <c r="B79" s="183" t="b">
        <f t="shared" ref="B79:O79" si="0">$A$4&lt;B78</f>
        <v>0</v>
      </c>
      <c r="C79" s="183" t="b">
        <f t="shared" si="0"/>
        <v>0</v>
      </c>
      <c r="D79" s="183" t="b">
        <f t="shared" si="0"/>
        <v>0</v>
      </c>
      <c r="E79" s="183" t="b">
        <f t="shared" si="0"/>
        <v>0</v>
      </c>
      <c r="F79" s="183" t="b">
        <f t="shared" si="0"/>
        <v>0</v>
      </c>
      <c r="G79" s="183" t="b">
        <f t="shared" si="0"/>
        <v>0</v>
      </c>
      <c r="H79" s="183" t="b">
        <f t="shared" si="0"/>
        <v>0</v>
      </c>
      <c r="I79" s="183" t="b">
        <f t="shared" si="0"/>
        <v>0</v>
      </c>
      <c r="J79" s="183" t="b">
        <f t="shared" si="0"/>
        <v>0</v>
      </c>
      <c r="K79" s="183" t="b">
        <f t="shared" si="0"/>
        <v>0</v>
      </c>
      <c r="L79" s="183" t="b">
        <f t="shared" si="0"/>
        <v>0</v>
      </c>
      <c r="M79" s="183" t="b">
        <f t="shared" si="0"/>
        <v>0</v>
      </c>
      <c r="N79" s="183" t="b">
        <f t="shared" si="0"/>
        <v>0</v>
      </c>
      <c r="O79" s="183" t="b">
        <f t="shared" si="0"/>
        <v>0</v>
      </c>
      <c r="P79"/>
      <c r="Q79"/>
      <c r="R79"/>
      <c r="S79"/>
      <c r="T79"/>
    </row>
    <row r="80" spans="1:20" x14ac:dyDescent="0.15">
      <c r="A80" s="212" t="s">
        <v>106</v>
      </c>
      <c r="B80" s="186">
        <f>IF(B79=TRUE,15.2%,33.1%)</f>
        <v>0.33100000000000002</v>
      </c>
      <c r="C80" s="186">
        <f>IF(C79=TRUE,19.1%,37%)</f>
        <v>0.37</v>
      </c>
      <c r="D80" s="186">
        <f>IF(D79=TRUE,18.35%,36.25%)</f>
        <v>0.36249999999999999</v>
      </c>
      <c r="E80" s="186">
        <f>IF(E79=TRUE,18.6%,36.5%)</f>
        <v>0.36499999999999999</v>
      </c>
      <c r="F80" s="186">
        <f>IF(F79=TRUE,18.65%,36.55%)</f>
        <v>0.36549999999999999</v>
      </c>
      <c r="G80" s="186">
        <f>IF(G79=TRUE,18.65%,36.55%)</f>
        <v>0.36549999999999999</v>
      </c>
      <c r="H80" s="186">
        <f>IF(H79=TRUE,18.65%,36.55%)</f>
        <v>0.36549999999999999</v>
      </c>
      <c r="I80" s="186">
        <f>IF(I79=TRUE,18.75%,36.65%)</f>
        <v>0.36649999999999999</v>
      </c>
      <c r="J80" s="186">
        <f>IF(J79=TRUE,19.45%,37.35%)</f>
        <v>0.3735</v>
      </c>
      <c r="K80" s="186">
        <f>IF(K79=TRUE,19.2%,37.1%)</f>
        <v>0.371</v>
      </c>
      <c r="L80" s="186"/>
      <c r="M80" s="186"/>
      <c r="N80" s="186"/>
      <c r="O80" s="186"/>
      <c r="P80"/>
      <c r="Q80"/>
      <c r="R80"/>
      <c r="S80"/>
      <c r="T80"/>
    </row>
    <row r="81" spans="1:20" x14ac:dyDescent="0.15">
      <c r="A81" s="212" t="s">
        <v>107</v>
      </c>
      <c r="B81" s="186">
        <f>IF(B79=TRUE,24.05%,41.95%)</f>
        <v>0.41950000000000004</v>
      </c>
      <c r="C81" s="186">
        <f>IF(C79=TRUE,24.1%,42%)</f>
        <v>0.42</v>
      </c>
      <c r="D81" s="186">
        <f>IF(D79=TRUE,24.1%,42%)</f>
        <v>0.42</v>
      </c>
      <c r="E81" s="186">
        <f>IF(E79=TRUE,24.1%,42%)</f>
        <v>0.42</v>
      </c>
      <c r="F81" s="186">
        <f>IF(F79=TRUE,22.5%,40.4%)</f>
        <v>0.40399999999999997</v>
      </c>
      <c r="G81" s="186">
        <f>IF(G79=TRUE,22.9%,40.8%)</f>
        <v>0.40799999999999997</v>
      </c>
      <c r="H81" s="186">
        <f>IF(H79=TRUE,22.95%,40.85%)</f>
        <v>0.40850000000000003</v>
      </c>
      <c r="I81" s="186">
        <f>IF(I79=TRUE,20.2%,38.1%)</f>
        <v>0.38100000000000001</v>
      </c>
      <c r="J81" s="186">
        <f>IF(J79=TRUE,19.45%,37.35%)</f>
        <v>0.3735</v>
      </c>
      <c r="K81" s="186">
        <f>IF(K79=TRUE,19.2%,37.1%)</f>
        <v>0.371</v>
      </c>
      <c r="L81" s="186"/>
      <c r="M81" s="186"/>
      <c r="N81" s="186"/>
      <c r="O81" s="186"/>
      <c r="P81"/>
      <c r="Q81"/>
      <c r="R81"/>
      <c r="S81"/>
      <c r="T81"/>
    </row>
    <row r="82" spans="1:20" x14ac:dyDescent="0.15">
      <c r="A82" s="212" t="s">
        <v>108</v>
      </c>
      <c r="B82" s="186">
        <v>0.42</v>
      </c>
      <c r="C82" s="186">
        <v>0.42</v>
      </c>
      <c r="D82" s="186">
        <v>0.42</v>
      </c>
      <c r="E82" s="186">
        <v>0.42</v>
      </c>
      <c r="F82" s="186">
        <v>0.40400000000000003</v>
      </c>
      <c r="G82" s="186">
        <v>0.40799999999999997</v>
      </c>
      <c r="H82" s="186">
        <v>0.40849999999999997</v>
      </c>
      <c r="I82" s="186">
        <v>0.38100000000000001</v>
      </c>
      <c r="J82" s="186">
        <v>0.3735</v>
      </c>
      <c r="K82" s="186">
        <v>0.371</v>
      </c>
      <c r="L82" s="186"/>
      <c r="M82" s="186"/>
      <c r="N82" s="186"/>
      <c r="O82" s="186"/>
      <c r="P82"/>
      <c r="Q82"/>
      <c r="R82"/>
      <c r="S82"/>
      <c r="T82"/>
    </row>
    <row r="83" spans="1:20" x14ac:dyDescent="0.15">
      <c r="A83" s="212" t="s">
        <v>109</v>
      </c>
      <c r="B83" s="186">
        <v>0.52</v>
      </c>
      <c r="C83" s="186">
        <v>0.52</v>
      </c>
      <c r="D83" s="186">
        <v>0.52</v>
      </c>
      <c r="E83" s="186">
        <v>0.52</v>
      </c>
      <c r="F83" s="186">
        <v>0.52</v>
      </c>
      <c r="G83" s="186">
        <v>0.52</v>
      </c>
      <c r="H83" s="186">
        <v>0.51949999999999996</v>
      </c>
      <c r="I83" s="186">
        <v>0.51749999999999996</v>
      </c>
      <c r="J83" s="186">
        <v>0.495</v>
      </c>
      <c r="K83" s="186">
        <v>0.495</v>
      </c>
      <c r="L83" s="186"/>
      <c r="M83" s="186"/>
      <c r="N83" s="187"/>
      <c r="O83" s="187"/>
      <c r="P83"/>
      <c r="Q83"/>
      <c r="R83"/>
      <c r="S83"/>
      <c r="T83"/>
    </row>
    <row r="84" spans="1:20" x14ac:dyDescent="0.15">
      <c r="A84" s="212"/>
      <c r="B84" s="183"/>
      <c r="C84" s="183"/>
      <c r="D84" s="183"/>
      <c r="E84" s="183"/>
      <c r="F84" s="183"/>
      <c r="G84" s="183"/>
      <c r="H84" s="183"/>
      <c r="I84" s="183"/>
      <c r="J84" s="183"/>
      <c r="K84" s="183"/>
      <c r="L84" s="183"/>
      <c r="M84" s="183"/>
      <c r="N84" s="183"/>
      <c r="O84" s="183"/>
      <c r="P84"/>
      <c r="Q84"/>
      <c r="R84"/>
      <c r="S84"/>
      <c r="T84"/>
    </row>
    <row r="85" spans="1:20" x14ac:dyDescent="0.15">
      <c r="A85" s="212" t="s">
        <v>80</v>
      </c>
      <c r="B85" s="188">
        <v>0.25</v>
      </c>
      <c r="C85" s="188">
        <v>0.25</v>
      </c>
      <c r="D85" s="188">
        <v>0.22</v>
      </c>
      <c r="E85" s="188">
        <v>0.25</v>
      </c>
      <c r="F85" s="188">
        <v>0.25</v>
      </c>
      <c r="G85" s="188">
        <v>0.25</v>
      </c>
      <c r="H85" s="188">
        <v>0.25</v>
      </c>
      <c r="I85" s="188">
        <v>0.25</v>
      </c>
      <c r="J85" s="186">
        <v>0.26250000000000001</v>
      </c>
      <c r="K85" s="186">
        <v>0.26900000000000002</v>
      </c>
      <c r="L85" s="183"/>
      <c r="M85" s="183"/>
      <c r="N85" s="183"/>
      <c r="O85" s="183"/>
      <c r="P85"/>
      <c r="Q85"/>
      <c r="R85"/>
      <c r="S85"/>
      <c r="T85"/>
    </row>
    <row r="86" spans="1:20" x14ac:dyDescent="0.15">
      <c r="A86" s="212"/>
      <c r="B86" s="183"/>
      <c r="C86" s="183"/>
      <c r="D86" s="183"/>
      <c r="E86" s="183"/>
      <c r="F86" s="183"/>
      <c r="G86" s="183"/>
      <c r="H86" s="183"/>
      <c r="I86" s="183"/>
      <c r="J86" s="183"/>
      <c r="K86" s="183"/>
      <c r="L86" s="183"/>
      <c r="M86" s="183"/>
      <c r="N86" s="183"/>
      <c r="O86" s="183"/>
      <c r="P86"/>
      <c r="Q86"/>
      <c r="R86"/>
      <c r="S86"/>
      <c r="T86"/>
    </row>
    <row r="87" spans="1:20" x14ac:dyDescent="0.15">
      <c r="A87" s="211" t="s">
        <v>10</v>
      </c>
      <c r="B87" s="181">
        <v>2012</v>
      </c>
      <c r="C87" s="181">
        <v>2013</v>
      </c>
      <c r="D87" s="181">
        <v>2014</v>
      </c>
      <c r="E87" s="181">
        <v>2015</v>
      </c>
      <c r="F87" s="181">
        <v>2016</v>
      </c>
      <c r="G87" s="181">
        <v>2017</v>
      </c>
      <c r="H87" s="181">
        <v>2018</v>
      </c>
      <c r="I87" s="181">
        <v>2019</v>
      </c>
      <c r="J87" s="181">
        <v>2020</v>
      </c>
      <c r="K87" s="181">
        <v>2021</v>
      </c>
      <c r="L87" s="181">
        <v>2022</v>
      </c>
      <c r="M87" s="181">
        <v>2023</v>
      </c>
      <c r="N87" s="181">
        <v>2024</v>
      </c>
      <c r="O87" s="181">
        <v>2025</v>
      </c>
      <c r="P87"/>
      <c r="Q87"/>
      <c r="R87"/>
      <c r="S87"/>
      <c r="T87"/>
    </row>
    <row r="88" spans="1:20" x14ac:dyDescent="0.15">
      <c r="A88" s="212" t="s">
        <v>110</v>
      </c>
      <c r="B88" s="183">
        <v>200000</v>
      </c>
      <c r="C88" s="183">
        <v>200000</v>
      </c>
      <c r="D88" s="183">
        <v>200000</v>
      </c>
      <c r="E88" s="183">
        <v>200000</v>
      </c>
      <c r="F88" s="183">
        <v>200000</v>
      </c>
      <c r="G88" s="183">
        <v>200000</v>
      </c>
      <c r="H88" s="183">
        <v>200000</v>
      </c>
      <c r="I88" s="183">
        <v>200000</v>
      </c>
      <c r="J88" s="183">
        <v>200000</v>
      </c>
      <c r="K88" s="183">
        <v>200000</v>
      </c>
      <c r="L88" s="183"/>
      <c r="M88" s="183"/>
      <c r="N88" s="183"/>
      <c r="O88" s="183"/>
      <c r="P88"/>
      <c r="Q88"/>
      <c r="R88"/>
      <c r="S88"/>
      <c r="T88"/>
    </row>
    <row r="89" spans="1:20" x14ac:dyDescent="0.15">
      <c r="A89" s="212" t="s">
        <v>111</v>
      </c>
      <c r="B89" s="188">
        <v>0.2</v>
      </c>
      <c r="C89" s="188">
        <v>0.2</v>
      </c>
      <c r="D89" s="188">
        <v>0.2</v>
      </c>
      <c r="E89" s="188">
        <v>0.2</v>
      </c>
      <c r="F89" s="188">
        <v>0.2</v>
      </c>
      <c r="G89" s="188">
        <v>0.2</v>
      </c>
      <c r="H89" s="188">
        <v>0.2</v>
      </c>
      <c r="I89" s="189">
        <v>0.19</v>
      </c>
      <c r="J89" s="189">
        <v>0.16500000000000001</v>
      </c>
      <c r="K89" s="189">
        <v>0.15</v>
      </c>
      <c r="L89" s="188"/>
      <c r="M89" s="188"/>
      <c r="N89" s="188"/>
      <c r="O89" s="188"/>
      <c r="P89"/>
      <c r="Q89"/>
      <c r="R89"/>
      <c r="S89"/>
      <c r="T89"/>
    </row>
    <row r="90" spans="1:20" x14ac:dyDescent="0.15">
      <c r="A90" s="212" t="s">
        <v>112</v>
      </c>
      <c r="B90" s="188">
        <v>0.25</v>
      </c>
      <c r="C90" s="188">
        <v>0.25</v>
      </c>
      <c r="D90" s="188">
        <v>0.25</v>
      </c>
      <c r="E90" s="188">
        <v>0.25</v>
      </c>
      <c r="F90" s="188">
        <v>0.25</v>
      </c>
      <c r="G90" s="188">
        <v>0.25</v>
      </c>
      <c r="H90" s="188">
        <v>0.25</v>
      </c>
      <c r="I90" s="189">
        <v>0.25</v>
      </c>
      <c r="J90" s="189">
        <v>0.25</v>
      </c>
      <c r="K90" s="189">
        <v>0.217</v>
      </c>
      <c r="L90" s="188"/>
      <c r="M90" s="188"/>
      <c r="N90" s="188"/>
      <c r="O90" s="188"/>
      <c r="P90"/>
      <c r="Q90"/>
      <c r="R90"/>
      <c r="S90"/>
      <c r="T90"/>
    </row>
    <row r="91" spans="1:20" x14ac:dyDescent="0.15">
      <c r="A91" s="212"/>
      <c r="B91" s="183"/>
      <c r="C91" s="183"/>
      <c r="D91" s="183"/>
      <c r="E91" s="183"/>
      <c r="F91" s="183"/>
      <c r="G91" s="183"/>
      <c r="H91" s="183"/>
      <c r="I91" s="183"/>
      <c r="J91" s="183"/>
      <c r="K91" s="183"/>
      <c r="L91" s="183"/>
      <c r="M91" s="183"/>
      <c r="N91" s="183"/>
      <c r="O91" s="183"/>
      <c r="P91"/>
      <c r="Q91"/>
      <c r="R91"/>
      <c r="S91"/>
      <c r="T91"/>
    </row>
    <row r="92" spans="1:20" x14ac:dyDescent="0.15">
      <c r="A92" s="211" t="s">
        <v>113</v>
      </c>
      <c r="B92" s="190">
        <f>IF(B79=TRUE,934,2001)</f>
        <v>2001</v>
      </c>
      <c r="C92" s="190">
        <f>IF(C79=TRUE,1034,2033)</f>
        <v>2033</v>
      </c>
      <c r="D92" s="190">
        <f>IF(D79=TRUE,1065,2103)</f>
        <v>2103</v>
      </c>
      <c r="E92" s="190">
        <f>IF(E79=TRUE,1123,2203)</f>
        <v>2203</v>
      </c>
      <c r="F92" s="190">
        <f>IF(F79=TRUE,1145,2242)</f>
        <v>2242</v>
      </c>
      <c r="G92" s="190">
        <f>IF(G79=TRUE,1151,2254)</f>
        <v>2254</v>
      </c>
      <c r="H92" s="190">
        <f>IF(H79=TRUE,1157,2265)</f>
        <v>2265</v>
      </c>
      <c r="I92" s="190">
        <f>IF(I79=TRUE,1268,2477)</f>
        <v>2477</v>
      </c>
      <c r="J92" s="190">
        <f>IF(J79=TRUE,1413,2711)</f>
        <v>2711</v>
      </c>
      <c r="K92" s="190">
        <f>IF(K79=TRUE,1453,2801)</f>
        <v>2801</v>
      </c>
      <c r="L92" s="190"/>
      <c r="M92" s="190"/>
      <c r="N92" s="191"/>
      <c r="O92" s="191"/>
      <c r="P92"/>
      <c r="Q92"/>
      <c r="R92"/>
      <c r="S92"/>
      <c r="T92"/>
    </row>
    <row r="93" spans="1:20" x14ac:dyDescent="0.15">
      <c r="A93" s="212" t="s">
        <v>114</v>
      </c>
      <c r="B93" s="192">
        <v>0</v>
      </c>
      <c r="C93" s="192">
        <v>0</v>
      </c>
      <c r="D93" s="193">
        <f>IF(D79=TRUE,2%,2%)</f>
        <v>0.02</v>
      </c>
      <c r="E93" s="193">
        <f>IF(E79=TRUE,1.183%,2.32%)</f>
        <v>2.3199999999999998E-2</v>
      </c>
      <c r="F93" s="193">
        <f>IF(F79=TRUE,2.46%,4.822%)</f>
        <v>4.8219999999999999E-2</v>
      </c>
      <c r="G93" s="193">
        <f>IF(G79=TRUE,2.443%,4.787%)</f>
        <v>4.7869999999999996E-2</v>
      </c>
      <c r="H93" s="193">
        <f>IF(H79=TRUE,2.389%,4.683%)</f>
        <v>4.6829999999999997E-2</v>
      </c>
      <c r="I93" s="193">
        <f>IF(I79=TRUE,2.633%,5.147%)</f>
        <v>5.1470000000000002E-2</v>
      </c>
      <c r="J93" s="193">
        <f>IF(J79=TRUE,2.954%,5.672%)</f>
        <v>5.672E-2</v>
      </c>
      <c r="K93" s="193">
        <f>IF(K79=TRUE,3.054%,5.888%)</f>
        <v>5.8880000000000002E-2</v>
      </c>
      <c r="L93" s="186"/>
      <c r="M93" s="186"/>
      <c r="N93" s="186"/>
      <c r="O93" s="186"/>
      <c r="P93"/>
      <c r="Q93"/>
      <c r="R93"/>
      <c r="S93"/>
      <c r="T93"/>
    </row>
    <row r="94" spans="1:20" x14ac:dyDescent="0.15">
      <c r="A94" s="212" t="s">
        <v>115</v>
      </c>
      <c r="B94" s="194">
        <f>B92</f>
        <v>2001</v>
      </c>
      <c r="C94" s="194">
        <f>C92</f>
        <v>2033</v>
      </c>
      <c r="D94" s="195">
        <f>IF(D79=TRUE,693,1366)</f>
        <v>1366</v>
      </c>
      <c r="E94" s="195">
        <f>IF(E79=TRUE,685,1342)</f>
        <v>1342</v>
      </c>
      <c r="F94" s="195">
        <v>0</v>
      </c>
      <c r="G94" s="195">
        <v>0</v>
      </c>
      <c r="H94" s="195">
        <v>0</v>
      </c>
      <c r="I94" s="195">
        <v>0</v>
      </c>
      <c r="J94" s="195">
        <v>0</v>
      </c>
      <c r="K94" s="195">
        <v>0</v>
      </c>
      <c r="L94" s="194"/>
      <c r="M94" s="194"/>
      <c r="N94" s="194"/>
      <c r="O94" s="194"/>
      <c r="P94"/>
      <c r="Q94"/>
      <c r="R94"/>
      <c r="S94"/>
      <c r="T94"/>
    </row>
    <row r="95" spans="1:20" x14ac:dyDescent="0.15">
      <c r="A95" s="212"/>
      <c r="B95" s="186"/>
      <c r="C95" s="183"/>
      <c r="D95" s="196"/>
      <c r="E95" s="197"/>
      <c r="F95" s="197"/>
      <c r="G95" s="183"/>
      <c r="H95" s="183"/>
      <c r="I95" s="183"/>
      <c r="J95" s="183"/>
      <c r="K95" s="186"/>
      <c r="L95" s="183"/>
      <c r="M95" s="196"/>
      <c r="N95" s="197"/>
      <c r="O95" s="197"/>
      <c r="P95"/>
      <c r="Q95"/>
      <c r="R95"/>
      <c r="S95"/>
      <c r="T95"/>
    </row>
    <row r="96" spans="1:20" x14ac:dyDescent="0.15">
      <c r="A96" s="211" t="s">
        <v>64</v>
      </c>
      <c r="B96" s="181">
        <v>2012</v>
      </c>
      <c r="C96" s="181">
        <v>2013</v>
      </c>
      <c r="D96" s="181">
        <v>2014</v>
      </c>
      <c r="E96" s="181">
        <v>2015</v>
      </c>
      <c r="F96" s="181">
        <v>2016</v>
      </c>
      <c r="G96" s="181">
        <v>2017</v>
      </c>
      <c r="H96" s="181">
        <v>2018</v>
      </c>
      <c r="I96" s="181">
        <v>2019</v>
      </c>
      <c r="J96" s="181">
        <v>2020</v>
      </c>
      <c r="K96" s="181">
        <v>2021</v>
      </c>
      <c r="L96" s="181">
        <v>2022</v>
      </c>
      <c r="M96" s="181">
        <v>2023</v>
      </c>
      <c r="N96" s="181">
        <v>2024</v>
      </c>
      <c r="O96" s="181">
        <v>2025</v>
      </c>
      <c r="P96"/>
      <c r="Q96"/>
      <c r="R96"/>
      <c r="S96"/>
      <c r="T96"/>
    </row>
    <row r="97" spans="1:20" x14ac:dyDescent="0.15">
      <c r="A97" s="212" t="s">
        <v>76</v>
      </c>
      <c r="B97" s="194">
        <v>9295</v>
      </c>
      <c r="C97" s="194">
        <v>8816</v>
      </c>
      <c r="D97" s="194">
        <v>8913</v>
      </c>
      <c r="E97" s="198">
        <v>9010</v>
      </c>
      <c r="F97" s="198">
        <v>9147</v>
      </c>
      <c r="G97" s="194">
        <v>9309</v>
      </c>
      <c r="H97" s="194">
        <v>9468</v>
      </c>
      <c r="I97" s="194">
        <v>9694</v>
      </c>
      <c r="J97" s="194">
        <v>9921</v>
      </c>
      <c r="K97" s="199">
        <v>9922</v>
      </c>
      <c r="L97" s="194"/>
      <c r="M97" s="194"/>
      <c r="N97" s="198"/>
      <c r="O97" s="198"/>
      <c r="P97"/>
      <c r="Q97"/>
      <c r="R97"/>
      <c r="S97"/>
      <c r="T97"/>
    </row>
    <row r="98" spans="1:20" x14ac:dyDescent="0.15">
      <c r="A98" s="212" t="s">
        <v>77</v>
      </c>
      <c r="B98" s="194">
        <v>21059</v>
      </c>
      <c r="C98" s="194">
        <v>18502</v>
      </c>
      <c r="D98" s="194">
        <v>19248</v>
      </c>
      <c r="E98" s="194">
        <v>19463</v>
      </c>
      <c r="F98" s="194">
        <v>19758</v>
      </c>
      <c r="G98" s="194">
        <v>20108</v>
      </c>
      <c r="H98" s="194">
        <v>20450</v>
      </c>
      <c r="I98" s="194">
        <v>20940</v>
      </c>
      <c r="J98" s="194">
        <v>21430</v>
      </c>
      <c r="K98" s="199">
        <f>K74</f>
        <v>20939</v>
      </c>
      <c r="L98" s="194">
        <f t="shared" ref="L98:O98" si="1">L74</f>
        <v>0</v>
      </c>
      <c r="M98" s="194">
        <f t="shared" si="1"/>
        <v>0</v>
      </c>
      <c r="N98" s="194">
        <f t="shared" si="1"/>
        <v>0</v>
      </c>
      <c r="O98" s="194">
        <f t="shared" si="1"/>
        <v>0</v>
      </c>
      <c r="P98"/>
      <c r="Q98"/>
      <c r="R98"/>
      <c r="S98"/>
      <c r="T98"/>
    </row>
    <row r="99" spans="1:20" x14ac:dyDescent="0.15">
      <c r="A99" s="212" t="s">
        <v>78</v>
      </c>
      <c r="B99" s="190">
        <v>45181</v>
      </c>
      <c r="C99" s="190">
        <v>40248</v>
      </c>
      <c r="D99" s="190">
        <v>40721</v>
      </c>
      <c r="E99" s="191">
        <v>49770</v>
      </c>
      <c r="F99" s="191">
        <v>34015</v>
      </c>
      <c r="G99" s="194">
        <v>32444</v>
      </c>
      <c r="H99" s="190">
        <v>33112</v>
      </c>
      <c r="I99" s="190">
        <v>34060</v>
      </c>
      <c r="J99" s="190">
        <v>34954</v>
      </c>
      <c r="K99" s="213">
        <v>34955</v>
      </c>
      <c r="L99" s="190"/>
      <c r="M99" s="190"/>
      <c r="N99" s="191"/>
      <c r="O99" s="191"/>
      <c r="P99"/>
      <c r="Q99"/>
      <c r="R99"/>
      <c r="S99"/>
      <c r="T99"/>
    </row>
    <row r="100" spans="1:20" x14ac:dyDescent="0.15">
      <c r="A100" s="212" t="s">
        <v>79</v>
      </c>
      <c r="B100" s="194">
        <v>514.17999999999995</v>
      </c>
      <c r="C100" s="194">
        <v>69573</v>
      </c>
      <c r="D100" s="194">
        <v>83971</v>
      </c>
      <c r="E100" s="194">
        <v>100670</v>
      </c>
      <c r="F100" s="194">
        <v>111590</v>
      </c>
      <c r="G100" s="194">
        <v>121972</v>
      </c>
      <c r="H100" s="194">
        <v>123362</v>
      </c>
      <c r="I100" s="194">
        <v>90710</v>
      </c>
      <c r="J100" s="194">
        <f>(J107/J105)+J99</f>
        <v>98604</v>
      </c>
      <c r="K100" s="199">
        <f>(K107/K105)+K99</f>
        <v>104005</v>
      </c>
      <c r="L100" s="194"/>
      <c r="M100" s="194"/>
      <c r="N100" s="194"/>
      <c r="O100" s="194"/>
      <c r="P100"/>
      <c r="Q100"/>
      <c r="R100"/>
      <c r="S100"/>
      <c r="T100"/>
    </row>
    <row r="101" spans="1:20" x14ac:dyDescent="0.15">
      <c r="A101" s="212"/>
      <c r="B101" s="183"/>
      <c r="C101" s="183"/>
      <c r="D101" s="186"/>
      <c r="E101" s="183"/>
      <c r="F101" s="196"/>
      <c r="G101" s="197"/>
      <c r="H101" s="197"/>
      <c r="I101" s="183"/>
      <c r="J101" s="183"/>
      <c r="K101" s="183"/>
      <c r="L101" s="183"/>
      <c r="M101" s="186"/>
      <c r="N101" s="183"/>
      <c r="O101" s="196"/>
      <c r="P101"/>
      <c r="Q101"/>
      <c r="R101"/>
      <c r="S101"/>
      <c r="T101"/>
    </row>
    <row r="102" spans="1:20" x14ac:dyDescent="0.15">
      <c r="A102" s="212" t="s">
        <v>106</v>
      </c>
      <c r="B102" s="183">
        <f>IF(B79=TRUE,0.796%,1.733%)</f>
        <v>1.7330000000000002E-2</v>
      </c>
      <c r="C102" s="183">
        <f>IF(C79=TRUE,0.943%,1.827%)</f>
        <v>1.8269999999999998E-2</v>
      </c>
      <c r="D102" s="183">
        <f>IF(D79=TRUE,0.915%,1.807%)</f>
        <v>1.8069999999999999E-2</v>
      </c>
      <c r="E102" s="183">
        <f>IF(E79=TRUE,0.922%,1.81%)</f>
        <v>1.8100000000000002E-2</v>
      </c>
      <c r="F102" s="183">
        <f>IF(F79=TRUE,0.915%,1.793%)</f>
        <v>1.7929999999999998E-2</v>
      </c>
      <c r="G102" s="183">
        <f>IF(G79=TRUE,0.904%,1.772%)</f>
        <v>1.772E-2</v>
      </c>
      <c r="H102" s="183">
        <f>IF(H79=TRUE,0.901%,1.764%)</f>
        <v>1.7639999999999999E-2</v>
      </c>
      <c r="I102" s="183">
        <f>IF(I79=TRUE,0.898%,1.754%)</f>
        <v>1.754E-2</v>
      </c>
      <c r="J102" s="183">
        <f>IF(J79=TRUE,1.464%,2.812%)</f>
        <v>2.8119999999999999E-2</v>
      </c>
      <c r="K102" s="96">
        <f>IF(K79=TRUE,1.464%,2.812%)</f>
        <v>2.8119999999999999E-2</v>
      </c>
      <c r="L102" s="183"/>
      <c r="M102" s="186"/>
      <c r="N102" s="183"/>
      <c r="O102" s="196"/>
      <c r="P102"/>
      <c r="Q102"/>
      <c r="R102"/>
      <c r="S102"/>
      <c r="T102"/>
    </row>
    <row r="103" spans="1:20" x14ac:dyDescent="0.15">
      <c r="A103" s="212" t="s">
        <v>107</v>
      </c>
      <c r="B103" s="183">
        <f>IF(B79=TRUE,5.657%,12.32%)</f>
        <v>0.1232</v>
      </c>
      <c r="C103" s="183">
        <f>IF(C79=TRUE,8.319%,16.115%)</f>
        <v>0.16114999999999999</v>
      </c>
      <c r="D103" s="183">
        <f>IF(D79=TRUE,9.479%,18.724%)</f>
        <v>0.18723999999999999</v>
      </c>
      <c r="E103" s="183">
        <f>IF(E79=TRUE,10.028%,19.679%)</f>
        <v>0.19678999999999999</v>
      </c>
      <c r="F103" s="183">
        <f>IF(F79=TRUE,14.133%,27.698%)</f>
        <v>0.27698</v>
      </c>
      <c r="G103" s="183">
        <f>IF(G79=TRUE,14.449%,28.317%)</f>
        <v>0.28316999999999998</v>
      </c>
      <c r="H103" s="183">
        <f>IF(H79=TRUE,14.32%,28.064%)</f>
        <v>0.28064</v>
      </c>
      <c r="I103" s="183">
        <f>IF(I79=TRUE,14.689%,28.712%)</f>
        <v>0.28711999999999999</v>
      </c>
      <c r="J103" s="183">
        <f>IF(J79=TRUE,15.004%,28.812%)</f>
        <v>0.28811999999999999</v>
      </c>
      <c r="K103" s="96">
        <f>IF(K79=TRUE,15.004%,28.812%)</f>
        <v>0.28811999999999999</v>
      </c>
      <c r="L103" s="183"/>
      <c r="M103" s="186"/>
      <c r="N103" s="183"/>
      <c r="O103" s="196"/>
      <c r="P103"/>
      <c r="Q103"/>
      <c r="R103"/>
      <c r="S103"/>
      <c r="T103"/>
    </row>
    <row r="104" spans="1:20" x14ac:dyDescent="0.15">
      <c r="A104" s="212" t="s">
        <v>108</v>
      </c>
      <c r="B104" s="183">
        <v>0</v>
      </c>
      <c r="C104" s="183">
        <v>0</v>
      </c>
      <c r="D104" s="183">
        <v>0</v>
      </c>
      <c r="E104" s="183">
        <v>0</v>
      </c>
      <c r="F104" s="183">
        <v>0</v>
      </c>
      <c r="G104" s="183">
        <v>0</v>
      </c>
      <c r="H104" s="183">
        <v>0</v>
      </c>
      <c r="I104" s="183">
        <v>0</v>
      </c>
      <c r="J104" s="183">
        <f>IF(J79=TRUE,0.862%,1.656%)</f>
        <v>1.6559999999999998E-2</v>
      </c>
      <c r="K104" s="96">
        <f>IF(K79=TRUE,0.862%,1.656%)</f>
        <v>1.6559999999999998E-2</v>
      </c>
      <c r="L104" s="183"/>
      <c r="M104" s="183"/>
      <c r="N104" s="183"/>
      <c r="O104" s="183"/>
      <c r="P104"/>
      <c r="Q104"/>
      <c r="R104"/>
      <c r="S104"/>
      <c r="T104"/>
    </row>
    <row r="105" spans="1:20" x14ac:dyDescent="0.15">
      <c r="A105" s="212" t="s">
        <v>109</v>
      </c>
      <c r="B105" s="183">
        <f>IF(B79=TRUE,0.574%,1.25%)</f>
        <v>1.2500000000000001E-2</v>
      </c>
      <c r="C105" s="183">
        <f>IF(C79=TRUE,2.064%,4%)</f>
        <v>0.04</v>
      </c>
      <c r="D105" s="183">
        <f>IF(D79=TRUE,2.025%,4%)</f>
        <v>0.04</v>
      </c>
      <c r="E105" s="183">
        <f>IF(E79=TRUE,2.038%,4%)</f>
        <v>0.04</v>
      </c>
      <c r="F105" s="183">
        <f>IF(F79=TRUE,2.041%,4%)</f>
        <v>0.04</v>
      </c>
      <c r="G105" s="183">
        <f>IF(G79=TRUE,1.837%,3.6%)</f>
        <v>3.6000000000000004E-2</v>
      </c>
      <c r="H105" s="183">
        <f>IF(H79=TRUE,1.837%,3.6%)</f>
        <v>3.6000000000000004E-2</v>
      </c>
      <c r="I105" s="183">
        <f>IF(I79=TRUE,3.069%,6%)</f>
        <v>0.06</v>
      </c>
      <c r="J105" s="183">
        <f>IF(J79=TRUE,3.124%,6%)</f>
        <v>0.06</v>
      </c>
      <c r="K105" s="96">
        <f>IF(K79=TRUE,3.124%,6%)</f>
        <v>0.06</v>
      </c>
      <c r="L105" s="183"/>
      <c r="M105" s="183"/>
      <c r="N105" s="183"/>
      <c r="O105" s="183"/>
      <c r="P105"/>
      <c r="Q105"/>
      <c r="R105"/>
      <c r="S105"/>
      <c r="T105"/>
    </row>
    <row r="106" spans="1:20" x14ac:dyDescent="0.15">
      <c r="A106" s="211"/>
      <c r="B106" s="200"/>
      <c r="C106" s="200"/>
      <c r="D106" s="200"/>
      <c r="E106" s="200"/>
      <c r="F106" s="200"/>
      <c r="G106" s="201"/>
      <c r="H106" s="201"/>
      <c r="I106" s="183"/>
      <c r="J106" s="200"/>
      <c r="K106" s="200"/>
      <c r="L106" s="200"/>
      <c r="M106" s="200"/>
      <c r="N106" s="200"/>
      <c r="O106" s="200"/>
      <c r="P106"/>
      <c r="Q106"/>
      <c r="R106"/>
      <c r="S106"/>
      <c r="T106"/>
    </row>
    <row r="107" spans="1:20" x14ac:dyDescent="0.15">
      <c r="A107" s="212" t="s">
        <v>116</v>
      </c>
      <c r="B107" s="183">
        <f>IF(B79=TRUE,740,1611)</f>
        <v>1611</v>
      </c>
      <c r="C107" s="183">
        <f>IF(C79=TRUE,890,1723)</f>
        <v>1723</v>
      </c>
      <c r="D107" s="183">
        <f>IF(D79=TRUE,1062,2097)</f>
        <v>2097</v>
      </c>
      <c r="E107" s="183">
        <f>IF(E79=TRUE,1132,2220)</f>
        <v>2220</v>
      </c>
      <c r="F107" s="183">
        <f>IF(F79=TRUE,1585,3103)</f>
        <v>3103</v>
      </c>
      <c r="G107" s="183">
        <f>IF(G79=TRUE,1645,3223)</f>
        <v>3223</v>
      </c>
      <c r="H107" s="183">
        <f>IF(H79=TRUE,1659,3249)</f>
        <v>3249</v>
      </c>
      <c r="I107" s="183">
        <f>IF(I79=TRUE,1745,3399)</f>
        <v>3399</v>
      </c>
      <c r="J107" s="183">
        <f>IF(J79=TRUE,1989,3819)</f>
        <v>3819</v>
      </c>
      <c r="K107" s="183">
        <f>IF(K79=TRUE,2147,4143)</f>
        <v>4143</v>
      </c>
      <c r="L107" s="183"/>
      <c r="M107" s="186"/>
      <c r="N107" s="183"/>
      <c r="O107" s="196"/>
      <c r="P107"/>
      <c r="Q107"/>
      <c r="R107"/>
      <c r="S107"/>
      <c r="T107"/>
    </row>
    <row r="108" spans="1:20" x14ac:dyDescent="0.15">
      <c r="A108" s="212" t="s">
        <v>117</v>
      </c>
      <c r="B108" s="183">
        <f>IF(B79=TRUE,704,740)</f>
        <v>740</v>
      </c>
      <c r="C108" s="183">
        <f>IF(C79=TRUE,284,550)</f>
        <v>550</v>
      </c>
      <c r="D108" s="183">
        <f>IF(D79=TRUE,186,367)</f>
        <v>367</v>
      </c>
      <c r="E108" s="183">
        <f>IF(E79=TRUE,94,184)</f>
        <v>184</v>
      </c>
      <c r="F108" s="183">
        <v>0</v>
      </c>
      <c r="G108" s="183">
        <v>0</v>
      </c>
      <c r="H108" s="183">
        <v>0</v>
      </c>
      <c r="I108" s="183">
        <v>0</v>
      </c>
      <c r="J108" s="183">
        <v>0</v>
      </c>
      <c r="K108" s="183">
        <v>0</v>
      </c>
      <c r="L108" s="183"/>
      <c r="M108" s="186"/>
      <c r="N108" s="183"/>
      <c r="O108" s="196"/>
      <c r="P108"/>
      <c r="Q108"/>
      <c r="R108"/>
      <c r="S108"/>
      <c r="T108"/>
    </row>
    <row r="109" spans="1:20" x14ac:dyDescent="0.15">
      <c r="A109" s="212"/>
      <c r="B109" s="183"/>
      <c r="C109" s="183"/>
      <c r="D109" s="186"/>
      <c r="E109" s="183"/>
      <c r="F109" s="196"/>
      <c r="G109" s="197"/>
      <c r="H109" s="197"/>
      <c r="I109" s="183"/>
      <c r="J109" s="183"/>
      <c r="K109" s="183"/>
      <c r="L109" s="183"/>
      <c r="M109" s="186"/>
      <c r="N109" s="183"/>
      <c r="O109" s="196"/>
      <c r="P109"/>
      <c r="Q109"/>
      <c r="R109"/>
      <c r="S109"/>
      <c r="T109"/>
    </row>
    <row r="110" spans="1:20" x14ac:dyDescent="0.15">
      <c r="A110" s="211" t="s">
        <v>87</v>
      </c>
      <c r="B110" s="119">
        <v>0</v>
      </c>
      <c r="C110" s="119">
        <v>0</v>
      </c>
      <c r="D110" s="119">
        <v>5.0000000000000001E-3</v>
      </c>
      <c r="E110" s="119">
        <v>0.01</v>
      </c>
      <c r="F110" s="119">
        <v>1.4999999999999999E-2</v>
      </c>
      <c r="G110" s="119">
        <v>0.02</v>
      </c>
      <c r="H110" s="90">
        <v>2.4500000000000001E-2</v>
      </c>
      <c r="I110" s="90">
        <v>2.75E-2</v>
      </c>
      <c r="J110" s="90">
        <v>3.5000000000000003E-2</v>
      </c>
      <c r="K110" s="177">
        <v>6.5000000000000002E-2</v>
      </c>
      <c r="L110" s="119">
        <v>4.4999999999999998E-2</v>
      </c>
      <c r="M110" s="119">
        <v>0.05</v>
      </c>
      <c r="N110" s="119">
        <v>5.5E-2</v>
      </c>
      <c r="O110" s="119">
        <v>0.06</v>
      </c>
      <c r="P110"/>
      <c r="Q110"/>
      <c r="R110"/>
      <c r="S110"/>
      <c r="T110"/>
    </row>
    <row r="111" spans="1:20" x14ac:dyDescent="0.15">
      <c r="A111" s="212"/>
      <c r="B111" s="119"/>
      <c r="C111" s="119"/>
      <c r="D111" s="119"/>
      <c r="E111" s="119"/>
      <c r="F111" s="119"/>
      <c r="G111" s="119"/>
      <c r="H111" s="90"/>
      <c r="I111" s="119">
        <v>0</v>
      </c>
      <c r="J111" s="90">
        <v>3.5000000000000003E-2</v>
      </c>
      <c r="K111" s="177">
        <v>6.5000000000000002E-2</v>
      </c>
      <c r="L111" s="119"/>
      <c r="M111" s="119"/>
      <c r="N111" s="119"/>
      <c r="O111" s="119"/>
      <c r="P111"/>
      <c r="Q111"/>
      <c r="R111"/>
      <c r="S111"/>
      <c r="T111"/>
    </row>
    <row r="112" spans="1:20" x14ac:dyDescent="0.15">
      <c r="A112" s="212"/>
      <c r="B112" s="119"/>
      <c r="C112" s="119"/>
      <c r="D112" s="119"/>
      <c r="E112" s="119"/>
      <c r="F112" s="119"/>
      <c r="G112" s="119"/>
      <c r="H112" s="90"/>
      <c r="I112" s="119"/>
      <c r="J112" s="90"/>
      <c r="K112" s="90"/>
      <c r="L112" s="119"/>
      <c r="M112" s="119"/>
      <c r="N112" s="119"/>
      <c r="O112" s="119"/>
      <c r="P112"/>
      <c r="Q112"/>
      <c r="R112"/>
      <c r="S112"/>
      <c r="T112"/>
    </row>
    <row r="113" spans="1:20" x14ac:dyDescent="0.15">
      <c r="A113" s="211" t="s">
        <v>91</v>
      </c>
      <c r="B113" s="181">
        <v>2012</v>
      </c>
      <c r="C113" s="181">
        <v>2013</v>
      </c>
      <c r="D113" s="181">
        <v>2014</v>
      </c>
      <c r="E113" s="181">
        <v>2015</v>
      </c>
      <c r="F113" s="181">
        <v>2016</v>
      </c>
      <c r="G113" s="181">
        <v>2017</v>
      </c>
      <c r="H113" s="181">
        <v>2018</v>
      </c>
      <c r="I113" s="181">
        <v>2019</v>
      </c>
      <c r="J113" s="181">
        <v>2020</v>
      </c>
      <c r="K113" s="181">
        <v>2021</v>
      </c>
      <c r="L113" s="181">
        <v>2022</v>
      </c>
      <c r="M113" s="181">
        <v>2023</v>
      </c>
      <c r="N113" s="181">
        <v>2024</v>
      </c>
      <c r="O113" s="181">
        <v>2025</v>
      </c>
      <c r="P113"/>
      <c r="Q113"/>
      <c r="R113"/>
      <c r="S113"/>
      <c r="T113"/>
    </row>
    <row r="114" spans="1:20" x14ac:dyDescent="0.15">
      <c r="A114" s="212" t="s">
        <v>76</v>
      </c>
      <c r="B114" s="183">
        <v>4814</v>
      </c>
      <c r="C114" s="183">
        <v>4814</v>
      </c>
      <c r="D114" s="183">
        <v>4814</v>
      </c>
      <c r="E114" s="183">
        <v>4857</v>
      </c>
      <c r="F114" s="183">
        <v>4881</v>
      </c>
      <c r="G114" s="183">
        <v>4895</v>
      </c>
      <c r="H114" s="183">
        <v>4934</v>
      </c>
      <c r="I114" s="183">
        <v>4993</v>
      </c>
      <c r="J114" s="183">
        <v>5072</v>
      </c>
      <c r="K114" s="183">
        <v>5142</v>
      </c>
      <c r="L114" s="183"/>
      <c r="M114" s="183"/>
      <c r="N114" s="183"/>
      <c r="O114" s="183"/>
      <c r="P114"/>
      <c r="Q114"/>
      <c r="R114"/>
      <c r="S114"/>
      <c r="T114"/>
    </row>
    <row r="115" spans="1:20" x14ac:dyDescent="0.15">
      <c r="A115" s="212" t="s">
        <v>77</v>
      </c>
      <c r="B115" s="183">
        <v>32539</v>
      </c>
      <c r="C115" s="183">
        <v>32539</v>
      </c>
      <c r="D115" s="183">
        <v>32539</v>
      </c>
      <c r="E115" s="183">
        <v>32832</v>
      </c>
      <c r="F115" s="183">
        <v>32969</v>
      </c>
      <c r="G115" s="183">
        <v>33065</v>
      </c>
      <c r="H115" s="183">
        <v>33331</v>
      </c>
      <c r="I115" s="183">
        <v>29753</v>
      </c>
      <c r="J115" s="183">
        <v>30234</v>
      </c>
      <c r="K115" s="96">
        <v>33331</v>
      </c>
      <c r="L115" s="183"/>
      <c r="M115" s="183"/>
      <c r="N115" s="183"/>
      <c r="O115" s="183"/>
      <c r="P115"/>
      <c r="Q115"/>
      <c r="R115"/>
      <c r="S115"/>
      <c r="T115"/>
    </row>
    <row r="116" spans="1:20" x14ac:dyDescent="0.15">
      <c r="A116" s="212" t="s">
        <v>118</v>
      </c>
      <c r="B116" s="120">
        <f>IF(B79=TRUE,1.837%,4%)</f>
        <v>0.04</v>
      </c>
      <c r="C116" s="120">
        <f>IF(C79=TRUE,2.064%,4%)</f>
        <v>0.04</v>
      </c>
      <c r="D116" s="120">
        <f>IF(D79=TRUE,2.038%,4%)</f>
        <v>0.04</v>
      </c>
      <c r="E116" s="120">
        <f>IF(E79=TRUE,2.037%,4%)</f>
        <v>0.04</v>
      </c>
      <c r="F116" s="120">
        <f>IF(F79=TRUE,3.143%,6.159%)</f>
        <v>6.1589999999999999E-2</v>
      </c>
      <c r="G116" s="120">
        <f>IF(G79=TRUE,3.143%,6.159%)</f>
        <v>6.1589999999999999E-2</v>
      </c>
      <c r="H116" s="120">
        <f>IF(H79=TRUE,3.143%,6.159%)</f>
        <v>6.1589999999999999E-2</v>
      </c>
      <c r="I116" s="120">
        <f>IF(I79=TRUE,5.86%,11.45%)</f>
        <v>0.11449999999999999</v>
      </c>
      <c r="J116" s="120">
        <f>IF(J79=TRUE,5.963%,11.45%)</f>
        <v>0.11449999999999999</v>
      </c>
      <c r="K116" s="178">
        <f>IF(K79=TRUE,5.963%,11.45%)</f>
        <v>0.11449999999999999</v>
      </c>
      <c r="L116" s="122"/>
      <c r="M116" s="122"/>
      <c r="N116" s="122"/>
      <c r="O116" s="122"/>
      <c r="P116"/>
      <c r="Q116"/>
      <c r="R116"/>
      <c r="S116"/>
      <c r="T116"/>
    </row>
    <row r="117" spans="1:20" x14ac:dyDescent="0.15">
      <c r="A117" s="212" t="s">
        <v>83</v>
      </c>
      <c r="B117" s="183">
        <f>IF($B$37=TRUE,IF(B79=TRUE,471,1024),0)</f>
        <v>0</v>
      </c>
      <c r="C117" s="183">
        <f>IF($B$37=TRUE,IF(C79=TRUE,529,1024),0)</f>
        <v>0</v>
      </c>
      <c r="D117" s="183">
        <f>IF($B$37=TRUE,IF(D79=TRUE,528,1024),0)</f>
        <v>0</v>
      </c>
      <c r="E117" s="183">
        <f>IF($B$37=TRUE,IF(E79=TRUE,528,1033),0)</f>
        <v>0</v>
      </c>
      <c r="F117" s="183">
        <f>IF($B$37=TRUE,IF(F79=TRUE,531,1039),0)</f>
        <v>0</v>
      </c>
      <c r="G117" s="183">
        <f>IF($B$37=TRUE,IF(G79=TRUE,533,1043),0)</f>
        <v>0</v>
      </c>
      <c r="H117" s="183">
        <f>IF($B$37=TRUE,IF(H79=TRUE,537,1052),0)</f>
        <v>0</v>
      </c>
      <c r="I117" s="183">
        <f>IF($B$37=TRUE,IF(I79=TRUE,0,0),0)</f>
        <v>0</v>
      </c>
      <c r="J117" s="183">
        <f>IF($B$37=TRUE,IF(J79=TRUE,0,0),0)</f>
        <v>0</v>
      </c>
      <c r="K117" s="96">
        <f>IF($B$37=TRUE,IF(K79=TRUE,0,0),0)</f>
        <v>0</v>
      </c>
      <c r="L117" s="183"/>
      <c r="M117" s="186"/>
      <c r="N117" s="183"/>
      <c r="O117" s="196"/>
      <c r="P117"/>
      <c r="Q117"/>
      <c r="R117"/>
      <c r="S117"/>
      <c r="T117"/>
    </row>
    <row r="118" spans="1:20" x14ac:dyDescent="0.15">
      <c r="A118" s="212" t="s">
        <v>82</v>
      </c>
      <c r="B118" s="183">
        <f>IF(B79=TRUE,980,2133)</f>
        <v>2133</v>
      </c>
      <c r="C118" s="183">
        <f>IF(C79=TRUE,1102,2133)</f>
        <v>2133</v>
      </c>
      <c r="D118" s="183">
        <f>IF(D79=TRUE,1081,2133)</f>
        <v>2133</v>
      </c>
      <c r="E118" s="183">
        <f>IF(E79=TRUE,1098,2152)</f>
        <v>2152</v>
      </c>
      <c r="F118" s="183">
        <f>IF(F79=TRUE,1413,2769)</f>
        <v>2769</v>
      </c>
      <c r="G118" s="183">
        <f>IF(G79=TRUE,1418,2778)</f>
        <v>2778</v>
      </c>
      <c r="H118" s="183">
        <f>IF(H79=TRUE,1431,2801)</f>
        <v>2801</v>
      </c>
      <c r="I118" s="183">
        <f>IF(I79=TRUE,1452,2835)</f>
        <v>2835</v>
      </c>
      <c r="J118" s="183">
        <f>IF(J79=TRUE,1452,2881)</f>
        <v>2881</v>
      </c>
      <c r="K118" s="183">
        <f>IF(K79=TRUE,1452,2881)</f>
        <v>2881</v>
      </c>
      <c r="L118" s="183"/>
      <c r="M118" s="186"/>
      <c r="N118" s="183"/>
      <c r="O118" s="196"/>
      <c r="P118"/>
      <c r="Q118"/>
      <c r="R118"/>
      <c r="S118"/>
      <c r="T118"/>
    </row>
    <row r="119" spans="1:20" x14ac:dyDescent="0.15">
      <c r="A119" s="212"/>
      <c r="B119" s="183"/>
      <c r="C119" s="183"/>
      <c r="D119" s="186"/>
      <c r="E119" s="183"/>
      <c r="F119" s="196"/>
      <c r="G119" s="197"/>
      <c r="H119" s="197"/>
      <c r="I119" s="183"/>
      <c r="J119" s="183"/>
      <c r="K119" s="183"/>
      <c r="L119" s="183"/>
      <c r="M119" s="186"/>
      <c r="N119" s="183"/>
      <c r="O119" s="196"/>
      <c r="P119"/>
      <c r="Q119"/>
      <c r="R119"/>
      <c r="S119"/>
      <c r="T119"/>
    </row>
    <row r="120" spans="1:20" x14ac:dyDescent="0.15">
      <c r="A120" s="181" t="s">
        <v>119</v>
      </c>
      <c r="B120" s="181">
        <v>2012</v>
      </c>
      <c r="C120" s="181">
        <v>2013</v>
      </c>
      <c r="D120" s="181">
        <v>2014</v>
      </c>
      <c r="E120" s="181">
        <v>2015</v>
      </c>
      <c r="F120" s="181">
        <v>2016</v>
      </c>
      <c r="G120" s="181">
        <v>2017</v>
      </c>
      <c r="H120" s="181">
        <v>2018</v>
      </c>
      <c r="I120" s="181">
        <v>2019</v>
      </c>
      <c r="J120" s="181">
        <v>2020</v>
      </c>
      <c r="K120" s="181">
        <v>2021</v>
      </c>
      <c r="L120" s="181">
        <v>2022</v>
      </c>
      <c r="M120" s="181">
        <v>2023</v>
      </c>
      <c r="N120" s="181">
        <v>2024</v>
      </c>
      <c r="O120" s="181">
        <v>2025</v>
      </c>
      <c r="P120"/>
      <c r="Q120"/>
      <c r="R120"/>
      <c r="S120"/>
      <c r="T120"/>
    </row>
    <row r="121" spans="1:20" x14ac:dyDescent="0.15">
      <c r="A121" s="212" t="s">
        <v>120</v>
      </c>
      <c r="B121" s="90">
        <v>7.0999999999999994E-2</v>
      </c>
      <c r="C121" s="90">
        <v>7.7499999999999999E-2</v>
      </c>
      <c r="D121" s="90">
        <v>7.4999999999999997E-2</v>
      </c>
      <c r="E121" s="90">
        <v>6.9500000000000006E-2</v>
      </c>
      <c r="F121" s="90">
        <v>6.7500000000000004E-2</v>
      </c>
      <c r="G121" s="90">
        <v>6.6500000000000004E-2</v>
      </c>
      <c r="H121" s="90">
        <v>6.9000000000000006E-2</v>
      </c>
      <c r="I121" s="186">
        <v>6.9500000000000006E-2</v>
      </c>
      <c r="J121" s="186">
        <v>6.7000000000000004E-2</v>
      </c>
      <c r="K121" s="175">
        <f t="shared" ref="K121:O123" si="2">J121</f>
        <v>6.7000000000000004E-2</v>
      </c>
      <c r="L121" s="175">
        <f t="shared" si="2"/>
        <v>6.7000000000000004E-2</v>
      </c>
      <c r="M121" s="175">
        <f t="shared" si="2"/>
        <v>6.7000000000000004E-2</v>
      </c>
      <c r="N121" s="175">
        <f t="shared" si="2"/>
        <v>6.7000000000000004E-2</v>
      </c>
      <c r="O121" s="175">
        <f t="shared" si="2"/>
        <v>6.7000000000000004E-2</v>
      </c>
      <c r="P121"/>
      <c r="Q121"/>
      <c r="R121"/>
      <c r="S121"/>
      <c r="T121"/>
    </row>
    <row r="122" spans="1:20" x14ac:dyDescent="0.15">
      <c r="A122" s="212" t="s">
        <v>121</v>
      </c>
      <c r="B122" s="123">
        <v>0.05</v>
      </c>
      <c r="C122" s="123">
        <v>5.6500000000000002E-2</v>
      </c>
      <c r="D122" s="123">
        <v>5.3999999999999999E-2</v>
      </c>
      <c r="E122" s="123">
        <v>4.8500000000000001E-2</v>
      </c>
      <c r="F122" s="90">
        <v>5.5E-2</v>
      </c>
      <c r="G122" s="90">
        <v>5.3999999999999999E-2</v>
      </c>
      <c r="H122" s="90">
        <v>5.6500000000000002E-2</v>
      </c>
      <c r="I122" s="186">
        <v>5.7000000000000002E-2</v>
      </c>
      <c r="J122" s="186">
        <v>5.45E-2</v>
      </c>
      <c r="K122" s="175">
        <f t="shared" si="2"/>
        <v>5.45E-2</v>
      </c>
      <c r="L122" s="175">
        <f t="shared" si="2"/>
        <v>5.45E-2</v>
      </c>
      <c r="M122" s="175">
        <f t="shared" si="2"/>
        <v>5.45E-2</v>
      </c>
      <c r="N122" s="175">
        <f t="shared" si="2"/>
        <v>5.45E-2</v>
      </c>
      <c r="O122" s="175">
        <f t="shared" si="2"/>
        <v>5.45E-2</v>
      </c>
      <c r="P122"/>
      <c r="Q122"/>
      <c r="R122"/>
      <c r="S122"/>
      <c r="T122"/>
    </row>
    <row r="123" spans="1:20" x14ac:dyDescent="0.15">
      <c r="A123" s="212" t="s">
        <v>122</v>
      </c>
      <c r="B123" s="203">
        <v>50064</v>
      </c>
      <c r="C123" s="203">
        <v>50853</v>
      </c>
      <c r="D123" s="203">
        <v>51414</v>
      </c>
      <c r="E123" s="203">
        <v>51976</v>
      </c>
      <c r="F123" s="203">
        <v>52763</v>
      </c>
      <c r="G123" s="204">
        <v>53701</v>
      </c>
      <c r="H123" s="205">
        <v>54614</v>
      </c>
      <c r="I123" s="205">
        <v>55923</v>
      </c>
      <c r="J123" s="182">
        <v>57232</v>
      </c>
      <c r="K123" s="206">
        <f t="shared" si="2"/>
        <v>57232</v>
      </c>
      <c r="L123" s="206">
        <f t="shared" si="2"/>
        <v>57232</v>
      </c>
      <c r="M123" s="206">
        <f t="shared" si="2"/>
        <v>57232</v>
      </c>
      <c r="N123" s="206">
        <f t="shared" si="2"/>
        <v>57232</v>
      </c>
      <c r="O123" s="206">
        <f t="shared" si="2"/>
        <v>57232</v>
      </c>
      <c r="P123"/>
      <c r="Q123"/>
      <c r="R123"/>
      <c r="S123"/>
      <c r="T123"/>
    </row>
    <row r="124" spans="1:20" x14ac:dyDescent="0.15">
      <c r="A124" s="212"/>
      <c r="B124" s="183"/>
      <c r="C124" s="183"/>
      <c r="D124" s="186"/>
      <c r="E124" s="183"/>
      <c r="F124" s="196"/>
      <c r="G124" s="197"/>
      <c r="H124" s="197"/>
      <c r="I124" s="183"/>
      <c r="J124" s="183"/>
      <c r="K124" s="183"/>
      <c r="L124" s="183"/>
      <c r="M124" s="186"/>
      <c r="N124" s="183"/>
      <c r="O124" s="196"/>
      <c r="P124"/>
      <c r="Q124"/>
      <c r="R124"/>
      <c r="S124"/>
      <c r="T124"/>
    </row>
    <row r="125" spans="1:20" x14ac:dyDescent="0.15">
      <c r="A125" s="211" t="s">
        <v>96</v>
      </c>
      <c r="B125" s="181">
        <v>2012</v>
      </c>
      <c r="C125" s="181">
        <v>2013</v>
      </c>
      <c r="D125" s="181">
        <v>2014</v>
      </c>
      <c r="E125" s="181">
        <v>2015</v>
      </c>
      <c r="F125" s="181">
        <v>2016</v>
      </c>
      <c r="G125" s="181">
        <v>2017</v>
      </c>
      <c r="H125" s="181">
        <v>2018</v>
      </c>
      <c r="I125" s="181">
        <v>2019</v>
      </c>
      <c r="J125" s="181">
        <v>2020</v>
      </c>
      <c r="K125" s="181">
        <v>2021</v>
      </c>
      <c r="L125" s="181">
        <v>2022</v>
      </c>
      <c r="M125" s="181">
        <v>2023</v>
      </c>
      <c r="N125" s="181">
        <v>2024</v>
      </c>
      <c r="O125" s="181">
        <v>2025</v>
      </c>
      <c r="P125"/>
      <c r="Q125"/>
      <c r="R125"/>
      <c r="S125"/>
      <c r="T125"/>
    </row>
    <row r="126" spans="1:20" x14ac:dyDescent="0.15">
      <c r="A126" s="212" t="s">
        <v>9</v>
      </c>
      <c r="B126" s="124">
        <v>0.12</v>
      </c>
      <c r="C126" s="124">
        <v>0.12</v>
      </c>
      <c r="D126" s="186">
        <v>0.109</v>
      </c>
      <c r="E126" s="90">
        <v>9.8000000000000004E-2</v>
      </c>
      <c r="F126" s="90">
        <v>9.8000000000000004E-2</v>
      </c>
      <c r="G126" s="90">
        <v>9.8000000000000004E-2</v>
      </c>
      <c r="H126" s="90">
        <v>9.4399999999999998E-2</v>
      </c>
      <c r="I126" s="90">
        <v>9.4399999999999998E-2</v>
      </c>
      <c r="J126" s="90">
        <f>I126</f>
        <v>9.4399999999999998E-2</v>
      </c>
      <c r="K126" s="177">
        <f t="shared" ref="K126:O127" si="3">J126</f>
        <v>9.4399999999999998E-2</v>
      </c>
      <c r="L126" s="177">
        <f t="shared" si="3"/>
        <v>9.4399999999999998E-2</v>
      </c>
      <c r="M126" s="177">
        <f t="shared" si="3"/>
        <v>9.4399999999999998E-2</v>
      </c>
      <c r="N126" s="177">
        <f t="shared" si="3"/>
        <v>9.4399999999999998E-2</v>
      </c>
      <c r="O126" s="177">
        <f t="shared" si="3"/>
        <v>9.4399999999999998E-2</v>
      </c>
      <c r="P126"/>
      <c r="Q126"/>
      <c r="R126"/>
      <c r="S126"/>
      <c r="T126"/>
    </row>
    <row r="127" spans="1:20" x14ac:dyDescent="0.15">
      <c r="A127" s="212" t="s">
        <v>123</v>
      </c>
      <c r="B127" s="182">
        <v>9542</v>
      </c>
      <c r="C127" s="182">
        <v>9542</v>
      </c>
      <c r="D127" s="182">
        <v>9542</v>
      </c>
      <c r="E127" s="182">
        <v>8631</v>
      </c>
      <c r="F127" s="182">
        <v>8774</v>
      </c>
      <c r="G127" s="182">
        <v>8946</v>
      </c>
      <c r="H127" s="182">
        <v>8775</v>
      </c>
      <c r="I127" s="182">
        <v>8999</v>
      </c>
      <c r="J127" s="182">
        <v>9218</v>
      </c>
      <c r="K127" s="206">
        <f t="shared" si="3"/>
        <v>9218</v>
      </c>
      <c r="L127" s="206">
        <f t="shared" si="3"/>
        <v>9218</v>
      </c>
      <c r="M127" s="206">
        <f t="shared" si="3"/>
        <v>9218</v>
      </c>
      <c r="N127" s="206">
        <f t="shared" si="3"/>
        <v>9218</v>
      </c>
      <c r="O127" s="206">
        <f t="shared" si="3"/>
        <v>9218</v>
      </c>
      <c r="P127"/>
      <c r="Q127"/>
      <c r="R127"/>
      <c r="S127"/>
      <c r="T127"/>
    </row>
    <row r="128" spans="1:20" x14ac:dyDescent="0.15">
      <c r="A128" s="212"/>
      <c r="B128" s="183"/>
      <c r="C128" s="183"/>
      <c r="D128" s="183"/>
      <c r="E128" s="183"/>
      <c r="F128" s="183"/>
      <c r="G128" s="202"/>
      <c r="H128" s="202"/>
      <c r="I128" s="183"/>
      <c r="J128" s="183"/>
      <c r="K128" s="183"/>
      <c r="L128" s="183"/>
      <c r="M128" s="183"/>
      <c r="N128" s="183"/>
      <c r="O128" s="183"/>
      <c r="P128"/>
      <c r="Q128"/>
      <c r="R128"/>
      <c r="S128"/>
      <c r="T128"/>
    </row>
    <row r="129" spans="1:20" x14ac:dyDescent="0.15">
      <c r="A129" s="181"/>
      <c r="B129" s="181">
        <v>2012</v>
      </c>
      <c r="C129" s="181">
        <v>2013</v>
      </c>
      <c r="D129" s="181">
        <v>2014</v>
      </c>
      <c r="E129" s="181">
        <v>2015</v>
      </c>
      <c r="F129" s="181">
        <v>2016</v>
      </c>
      <c r="G129" s="181">
        <v>2017</v>
      </c>
      <c r="H129" s="181">
        <v>2018</v>
      </c>
      <c r="I129" s="181">
        <v>2019</v>
      </c>
      <c r="J129" s="181">
        <v>2020</v>
      </c>
      <c r="K129" s="181">
        <v>2021</v>
      </c>
      <c r="L129" s="181">
        <v>2022</v>
      </c>
      <c r="M129" s="181">
        <v>2023</v>
      </c>
      <c r="N129" s="181">
        <v>2024</v>
      </c>
      <c r="O129" s="181">
        <v>2025</v>
      </c>
      <c r="P129" s="181">
        <v>2026</v>
      </c>
      <c r="Q129" s="181">
        <v>2027</v>
      </c>
      <c r="R129" s="181">
        <v>2028</v>
      </c>
      <c r="S129" s="181">
        <v>2029</v>
      </c>
      <c r="T129" s="181">
        <v>2030</v>
      </c>
    </row>
    <row r="130" spans="1:20" x14ac:dyDescent="0.15">
      <c r="A130" s="211" t="s">
        <v>11</v>
      </c>
      <c r="B130" s="183">
        <f t="shared" ref="B130:G130" si="4">IF($B79,3640,7280)</f>
        <v>7280</v>
      </c>
      <c r="C130" s="183">
        <f t="shared" si="4"/>
        <v>7280</v>
      </c>
      <c r="D130" s="183">
        <f t="shared" si="4"/>
        <v>7280</v>
      </c>
      <c r="E130" s="183">
        <f t="shared" si="4"/>
        <v>7280</v>
      </c>
      <c r="F130" s="183">
        <f t="shared" si="4"/>
        <v>7280</v>
      </c>
      <c r="G130" s="183">
        <f t="shared" si="4"/>
        <v>7280</v>
      </c>
      <c r="H130" s="183">
        <f>IF(H79,3640,7280)</f>
        <v>7280</v>
      </c>
      <c r="I130" s="183">
        <f>IF(I79,3640,7280)</f>
        <v>7280</v>
      </c>
      <c r="J130" s="183">
        <f>I130-250</f>
        <v>7030</v>
      </c>
      <c r="K130" s="96">
        <f t="shared" ref="K130:O130" si="5">J130-250</f>
        <v>6780</v>
      </c>
      <c r="L130" s="96">
        <f t="shared" si="5"/>
        <v>6530</v>
      </c>
      <c r="M130" s="96">
        <f t="shared" si="5"/>
        <v>6280</v>
      </c>
      <c r="N130" s="96">
        <f t="shared" si="5"/>
        <v>6030</v>
      </c>
      <c r="O130" s="96">
        <f t="shared" si="5"/>
        <v>5780</v>
      </c>
      <c r="P130" s="96">
        <f t="shared" ref="P130:Q130" si="6">O130-250</f>
        <v>5530</v>
      </c>
      <c r="Q130" s="96">
        <f t="shared" si="6"/>
        <v>5280</v>
      </c>
      <c r="R130" s="96">
        <v>5000</v>
      </c>
      <c r="S130" s="96"/>
      <c r="T130" s="96"/>
    </row>
    <row r="131" spans="1:20" x14ac:dyDescent="0.15">
      <c r="A131" s="211" t="s">
        <v>12</v>
      </c>
      <c r="B131" s="183">
        <f t="shared" ref="B131:G131" si="7">IF($B79,1062,2123)</f>
        <v>2123</v>
      </c>
      <c r="C131" s="183">
        <f t="shared" si="7"/>
        <v>2123</v>
      </c>
      <c r="D131" s="183">
        <f t="shared" si="7"/>
        <v>2123</v>
      </c>
      <c r="E131" s="183">
        <f t="shared" si="7"/>
        <v>2123</v>
      </c>
      <c r="F131" s="183">
        <f t="shared" si="7"/>
        <v>2123</v>
      </c>
      <c r="G131" s="183">
        <f t="shared" si="7"/>
        <v>2123</v>
      </c>
      <c r="H131" s="183">
        <f>IF(H79,1062,2123)</f>
        <v>2123</v>
      </c>
      <c r="I131" s="183">
        <f>IF(I79,1062,2123)</f>
        <v>2123</v>
      </c>
      <c r="J131" s="183">
        <f>IF(J79,1062,2123)</f>
        <v>2123</v>
      </c>
      <c r="K131" s="96">
        <f>IF(K79,1062,2123)</f>
        <v>2123</v>
      </c>
      <c r="L131" s="200"/>
      <c r="M131" s="200"/>
      <c r="N131" s="200"/>
      <c r="O131" s="200"/>
      <c r="P131"/>
      <c r="Q131"/>
      <c r="R131"/>
      <c r="S131"/>
      <c r="T131"/>
    </row>
    <row r="132" spans="1:20" x14ac:dyDescent="0.15">
      <c r="A132" s="211" t="s">
        <v>124</v>
      </c>
      <c r="B132" s="183"/>
      <c r="C132" s="183"/>
      <c r="D132" s="186"/>
      <c r="E132" s="183"/>
      <c r="F132" s="196"/>
      <c r="G132" s="197"/>
      <c r="H132" s="197"/>
      <c r="I132" s="183"/>
      <c r="J132" s="183"/>
      <c r="K132" s="183"/>
      <c r="L132" s="183"/>
      <c r="M132" s="186"/>
      <c r="N132" s="183"/>
      <c r="O132" s="196"/>
      <c r="P132"/>
      <c r="Q132"/>
      <c r="R132"/>
      <c r="S132"/>
      <c r="T132"/>
    </row>
    <row r="133" spans="1:20" x14ac:dyDescent="0.15">
      <c r="A133" s="212"/>
      <c r="B133" s="183"/>
      <c r="C133" s="183"/>
      <c r="D133" s="186"/>
      <c r="E133" s="183"/>
      <c r="F133" s="196"/>
      <c r="G133" s="197"/>
      <c r="H133" s="197"/>
      <c r="I133" s="183"/>
      <c r="J133" s="183"/>
      <c r="K133" s="183"/>
      <c r="L133" s="183"/>
      <c r="M133" s="186"/>
      <c r="N133" s="183"/>
      <c r="O133" s="196"/>
      <c r="P133"/>
      <c r="Q133"/>
      <c r="R133"/>
      <c r="S133"/>
      <c r="T133"/>
    </row>
    <row r="134" spans="1:20" x14ac:dyDescent="0.15">
      <c r="A134" s="211" t="s">
        <v>14</v>
      </c>
      <c r="B134" s="181">
        <v>2012</v>
      </c>
      <c r="C134" s="181">
        <v>2013</v>
      </c>
      <c r="D134" s="181">
        <v>2014</v>
      </c>
      <c r="E134" s="181">
        <v>2015</v>
      </c>
      <c r="F134" s="181">
        <v>2016</v>
      </c>
      <c r="G134" s="181">
        <v>2017</v>
      </c>
      <c r="H134" s="181">
        <v>2018</v>
      </c>
      <c r="I134" s="181">
        <v>2019</v>
      </c>
      <c r="J134" s="181">
        <v>2020</v>
      </c>
      <c r="K134" s="181">
        <v>2021</v>
      </c>
      <c r="L134" s="181">
        <v>2022</v>
      </c>
      <c r="M134" s="181">
        <v>2023</v>
      </c>
      <c r="N134" s="181">
        <v>2024</v>
      </c>
      <c r="O134" s="181">
        <v>2025</v>
      </c>
      <c r="P134"/>
      <c r="Q134"/>
      <c r="R134"/>
      <c r="S134"/>
      <c r="T134"/>
    </row>
    <row r="135" spans="1:20" x14ac:dyDescent="0.15">
      <c r="A135" s="212"/>
      <c r="B135" s="188">
        <v>0.12</v>
      </c>
      <c r="C135" s="188">
        <v>0.14000000000000001</v>
      </c>
      <c r="D135" s="188">
        <v>0.14000000000000001</v>
      </c>
      <c r="E135" s="188">
        <v>0.14000000000000001</v>
      </c>
      <c r="F135" s="188">
        <v>0.14000000000000001</v>
      </c>
      <c r="G135" s="188">
        <v>0.14000000000000001</v>
      </c>
      <c r="H135" s="188">
        <v>0.14000000000000001</v>
      </c>
      <c r="I135" s="188">
        <v>0.14000000000000001</v>
      </c>
      <c r="J135" s="188">
        <v>0.14000000000000001</v>
      </c>
      <c r="K135" s="207">
        <v>0.14000000000000001</v>
      </c>
      <c r="L135" s="188">
        <v>0.14000000000000001</v>
      </c>
      <c r="M135" s="188">
        <v>0.14000000000000001</v>
      </c>
      <c r="N135" s="188">
        <v>0.14000000000000001</v>
      </c>
      <c r="O135" s="188">
        <v>0.14000000000000001</v>
      </c>
      <c r="P135"/>
      <c r="Q135"/>
      <c r="R135"/>
      <c r="S135"/>
      <c r="T135"/>
    </row>
    <row r="136" spans="1:20" x14ac:dyDescent="0.15">
      <c r="A136" s="212"/>
      <c r="B136" s="183"/>
      <c r="C136" s="183"/>
      <c r="D136" s="183"/>
      <c r="E136" s="183"/>
      <c r="F136" s="183"/>
      <c r="G136" s="202"/>
      <c r="H136" s="202"/>
      <c r="I136" s="183"/>
      <c r="J136" s="183"/>
      <c r="K136" s="183"/>
      <c r="L136" s="183"/>
      <c r="M136" s="183"/>
      <c r="N136" s="183"/>
      <c r="O136" s="183"/>
      <c r="P136"/>
      <c r="Q136"/>
      <c r="R136"/>
      <c r="S136"/>
      <c r="T136"/>
    </row>
    <row r="137" spans="1:20" x14ac:dyDescent="0.15">
      <c r="A137" s="211" t="s">
        <v>8</v>
      </c>
      <c r="B137" s="181">
        <v>2012</v>
      </c>
      <c r="C137" s="181">
        <v>2013</v>
      </c>
      <c r="D137" s="181">
        <v>2014</v>
      </c>
      <c r="E137" s="181">
        <v>2015</v>
      </c>
      <c r="F137" s="181">
        <v>2016</v>
      </c>
      <c r="G137" s="181">
        <v>2017</v>
      </c>
      <c r="H137" s="181">
        <v>2018</v>
      </c>
      <c r="I137" s="181">
        <v>2019</v>
      </c>
      <c r="J137" s="181">
        <v>2020</v>
      </c>
      <c r="K137" s="181">
        <v>2021</v>
      </c>
      <c r="L137" s="181">
        <v>2022</v>
      </c>
      <c r="M137" s="181">
        <v>2023</v>
      </c>
      <c r="N137" s="181">
        <v>2024</v>
      </c>
      <c r="O137" s="181">
        <v>2025</v>
      </c>
      <c r="P137"/>
      <c r="Q137"/>
      <c r="R137"/>
      <c r="S137"/>
      <c r="T137"/>
    </row>
    <row r="138" spans="1:20" x14ac:dyDescent="0.15">
      <c r="A138" s="212" t="s">
        <v>125</v>
      </c>
      <c r="B138" s="208">
        <v>1040000</v>
      </c>
      <c r="C138" s="208">
        <v>1040000</v>
      </c>
      <c r="D138" s="208">
        <v>1040000</v>
      </c>
      <c r="E138" s="208">
        <v>1050000</v>
      </c>
      <c r="F138" s="208">
        <v>1050000</v>
      </c>
      <c r="G138" s="208">
        <v>1060000</v>
      </c>
      <c r="H138" s="208">
        <v>1060000</v>
      </c>
      <c r="I138" s="208">
        <v>1080000</v>
      </c>
      <c r="J138" s="208">
        <v>1090000</v>
      </c>
      <c r="K138" s="209">
        <f t="shared" ref="K138:O138" si="8">J138</f>
        <v>1090000</v>
      </c>
      <c r="L138" s="209">
        <f t="shared" si="8"/>
        <v>1090000</v>
      </c>
      <c r="M138" s="209">
        <f t="shared" si="8"/>
        <v>1090000</v>
      </c>
      <c r="N138" s="209">
        <f t="shared" si="8"/>
        <v>1090000</v>
      </c>
      <c r="O138" s="209">
        <f t="shared" si="8"/>
        <v>1090000</v>
      </c>
      <c r="P138"/>
      <c r="Q138"/>
      <c r="R138"/>
      <c r="S138"/>
      <c r="T138"/>
    </row>
    <row r="139" spans="1:20" x14ac:dyDescent="0.15">
      <c r="A139" s="212">
        <v>12500</v>
      </c>
      <c r="B139" s="186">
        <v>2E-3</v>
      </c>
      <c r="C139" s="186">
        <v>2E-3</v>
      </c>
      <c r="D139" s="186">
        <v>2.5000000000000001E-3</v>
      </c>
      <c r="E139" s="186">
        <v>3.0000000000000001E-3</v>
      </c>
      <c r="F139" s="186">
        <v>3.0000000000000001E-3</v>
      </c>
      <c r="G139" s="186">
        <v>3.0000000000000001E-3</v>
      </c>
      <c r="H139" s="186">
        <v>2.5000000000000001E-3</v>
      </c>
      <c r="I139" s="186">
        <v>2.5000000000000001E-3</v>
      </c>
      <c r="J139" s="186">
        <v>2E-3</v>
      </c>
      <c r="K139" s="186">
        <v>2E-3</v>
      </c>
      <c r="L139" s="186">
        <v>2E-3</v>
      </c>
      <c r="M139" s="186">
        <v>1.5E-3</v>
      </c>
      <c r="N139" s="183"/>
      <c r="O139" s="183"/>
      <c r="P139"/>
      <c r="Q139"/>
      <c r="R139"/>
      <c r="S139"/>
      <c r="T139"/>
    </row>
    <row r="140" spans="1:20" x14ac:dyDescent="0.15">
      <c r="A140" s="212">
        <v>25000</v>
      </c>
      <c r="B140" s="210">
        <v>3.5000000000000001E-3</v>
      </c>
      <c r="C140" s="210">
        <v>3.5000000000000001E-3</v>
      </c>
      <c r="D140" s="210">
        <v>4.0000000000000001E-3</v>
      </c>
      <c r="E140" s="210">
        <v>4.4999999999999997E-3</v>
      </c>
      <c r="F140" s="210">
        <v>4.4999999999999997E-3</v>
      </c>
      <c r="G140" s="210">
        <v>4.4999999999999997E-3</v>
      </c>
      <c r="H140" s="210">
        <v>4.0000000000000001E-3</v>
      </c>
      <c r="I140" s="176">
        <v>3.5000000000000001E-3</v>
      </c>
      <c r="J140" s="176">
        <v>3.5000000000000001E-3</v>
      </c>
      <c r="K140" s="176">
        <v>3.0000000000000001E-3</v>
      </c>
      <c r="L140" s="176">
        <v>3.0000000000000001E-3</v>
      </c>
      <c r="M140" s="176">
        <v>2.5000000000000001E-3</v>
      </c>
      <c r="N140" s="203"/>
      <c r="O140" s="203"/>
      <c r="P140"/>
      <c r="Q140"/>
      <c r="R140"/>
      <c r="S140"/>
      <c r="T140"/>
    </row>
    <row r="141" spans="1:20" x14ac:dyDescent="0.15">
      <c r="A141" s="212">
        <v>50000</v>
      </c>
      <c r="B141" s="186">
        <v>4.4999999999999997E-3</v>
      </c>
      <c r="C141" s="186">
        <v>4.4999999999999997E-3</v>
      </c>
      <c r="D141" s="186">
        <v>5.4999999999999997E-3</v>
      </c>
      <c r="E141" s="186">
        <v>6.0000000000000001E-3</v>
      </c>
      <c r="F141" s="186">
        <v>6.0000000000000001E-3</v>
      </c>
      <c r="G141" s="186">
        <v>6.0000000000000001E-3</v>
      </c>
      <c r="H141" s="186">
        <v>5.4999999999999997E-3</v>
      </c>
      <c r="I141" s="176">
        <v>5.0000000000000001E-3</v>
      </c>
      <c r="J141" s="176">
        <v>4.4999999999999997E-3</v>
      </c>
      <c r="K141" s="176">
        <v>4.0000000000000001E-3</v>
      </c>
      <c r="L141" s="176">
        <v>4.0000000000000001E-3</v>
      </c>
      <c r="M141" s="176">
        <v>3.5000000000000001E-3</v>
      </c>
      <c r="N141" s="183"/>
      <c r="O141" s="196"/>
      <c r="P141"/>
      <c r="Q141"/>
      <c r="R141"/>
      <c r="S141"/>
      <c r="T141"/>
    </row>
    <row r="142" spans="1:20" x14ac:dyDescent="0.15">
      <c r="A142" s="212">
        <v>75000</v>
      </c>
      <c r="B142" s="186">
        <v>6.0000000000000001E-3</v>
      </c>
      <c r="C142" s="186">
        <v>6.0000000000000001E-3</v>
      </c>
      <c r="D142" s="186">
        <v>7.0000000000000001E-3</v>
      </c>
      <c r="E142" s="186">
        <v>7.4999999999999997E-3</v>
      </c>
      <c r="F142" s="186">
        <v>7.4999999999999997E-3</v>
      </c>
      <c r="G142" s="186">
        <v>7.4999999999999997E-3</v>
      </c>
      <c r="H142" s="186">
        <v>7.0000000000000001E-3</v>
      </c>
      <c r="I142" s="176">
        <v>6.4999999999999997E-3</v>
      </c>
      <c r="J142" s="176">
        <v>6.0000000000000001E-3</v>
      </c>
      <c r="K142" s="176">
        <v>5.0000000000000001E-3</v>
      </c>
      <c r="L142" s="176">
        <v>5.0000000000000001E-3</v>
      </c>
      <c r="M142" s="176">
        <v>4.4999999999999997E-3</v>
      </c>
      <c r="N142" s="183"/>
      <c r="O142" s="196"/>
      <c r="P142"/>
      <c r="Q142"/>
      <c r="R142"/>
      <c r="S142"/>
      <c r="T142"/>
    </row>
    <row r="143" spans="1:20" x14ac:dyDescent="0.15">
      <c r="A143" s="212">
        <f>LOOKUP(A1,B137:O137,B138:O138)</f>
        <v>1090000</v>
      </c>
      <c r="B143" s="186">
        <v>1.2999999999999999E-2</v>
      </c>
      <c r="C143" s="186">
        <v>1.55E-2</v>
      </c>
      <c r="D143" s="186">
        <v>1.7999999999999999E-2</v>
      </c>
      <c r="E143" s="186">
        <v>2.0500000000000001E-2</v>
      </c>
      <c r="F143" s="186">
        <v>2.35E-2</v>
      </c>
      <c r="G143" s="186">
        <v>2.35E-2</v>
      </c>
      <c r="H143" s="186">
        <v>2.35E-2</v>
      </c>
      <c r="I143" s="176">
        <v>2.35E-2</v>
      </c>
      <c r="J143" s="176">
        <v>2.35E-2</v>
      </c>
      <c r="K143" s="176">
        <v>2.35E-2</v>
      </c>
      <c r="L143" s="176">
        <v>2.35E-2</v>
      </c>
      <c r="M143" s="176">
        <v>2.35E-2</v>
      </c>
      <c r="N143" s="183"/>
      <c r="O143" s="196"/>
      <c r="P143"/>
      <c r="Q143"/>
      <c r="R143"/>
      <c r="S143"/>
      <c r="T143"/>
    </row>
    <row r="144" spans="1:20" x14ac:dyDescent="0.15">
      <c r="A144" s="212" t="s">
        <v>129</v>
      </c>
      <c r="B144" s="188">
        <v>1</v>
      </c>
      <c r="C144" s="188">
        <v>1</v>
      </c>
      <c r="D144" s="188">
        <v>1</v>
      </c>
      <c r="E144" s="188">
        <v>1</v>
      </c>
      <c r="F144" s="188">
        <v>1</v>
      </c>
      <c r="G144" s="188">
        <v>1</v>
      </c>
      <c r="H144" s="188">
        <v>1</v>
      </c>
      <c r="I144" s="186">
        <f>H144-(1/30)</f>
        <v>0.96666666666666667</v>
      </c>
      <c r="J144" s="186">
        <f t="shared" ref="J144:O144" si="9">I144-(1/30)</f>
        <v>0.93333333333333335</v>
      </c>
      <c r="K144" s="186">
        <f t="shared" si="9"/>
        <v>0.9</v>
      </c>
      <c r="L144" s="186">
        <f t="shared" si="9"/>
        <v>0.8666666666666667</v>
      </c>
      <c r="M144" s="186">
        <f t="shared" si="9"/>
        <v>0.83333333333333337</v>
      </c>
      <c r="N144" s="186">
        <f t="shared" si="9"/>
        <v>0.8</v>
      </c>
      <c r="O144" s="186">
        <f t="shared" si="9"/>
        <v>0.76666666666666672</v>
      </c>
    </row>
  </sheetData>
  <sheetProtection algorithmName="SHA-512" hashValue="5vZI82v+/fAYLVzHMG1xhdj/jn/46Jg5yGvuqW4mcZQKRPOonSBeIrr0hicMzGLGenAqFJShzKBWQEfuqkjj0A==" saltValue="7cXcdNxot6vGlw88KNPQY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T144"/>
  <sheetViews>
    <sheetView showGridLines="0" showRowColHeaders="0" topLeftCell="A52" workbookViewId="0">
      <selection activeCell="A72" sqref="A72:O144"/>
    </sheetView>
  </sheetViews>
  <sheetFormatPr defaultColWidth="0.140625" defaultRowHeight="11.25" x14ac:dyDescent="0.15"/>
  <cols>
    <col min="1" max="1" width="34.5703125" style="127" bestFit="1" customWidth="1"/>
    <col min="2" max="2" width="16.140625" style="127" bestFit="1" customWidth="1"/>
    <col min="3" max="3" width="10.140625" style="127" bestFit="1" customWidth="1"/>
    <col min="4" max="4" width="19" style="127" bestFit="1" customWidth="1"/>
    <col min="5" max="5" width="10.7109375" style="127" bestFit="1" customWidth="1"/>
    <col min="6" max="6" width="13.42578125" style="127" bestFit="1" customWidth="1"/>
    <col min="7" max="7" width="11.5703125" style="127" bestFit="1" customWidth="1"/>
    <col min="8" max="8" width="12" style="127" bestFit="1" customWidth="1"/>
    <col min="9" max="11" width="10.140625" style="127" bestFit="1" customWidth="1"/>
    <col min="12" max="15" width="5.5703125" style="127" bestFit="1" customWidth="1"/>
    <col min="16" max="16384" width="0.140625" style="127"/>
  </cols>
  <sheetData>
    <row r="1" spans="1:15" ht="15" x14ac:dyDescent="0.15">
      <c r="A1" s="73">
        <f>'1'!E2</f>
        <v>2020</v>
      </c>
      <c r="B1" s="74" t="s">
        <v>69</v>
      </c>
      <c r="C1" s="74"/>
      <c r="D1" s="75">
        <f ca="1">D12-D24-D32-D35</f>
        <v>0</v>
      </c>
      <c r="E1" s="74"/>
      <c r="F1" s="76" t="s">
        <v>70</v>
      </c>
      <c r="G1" s="138">
        <f>A4</f>
        <v>36526</v>
      </c>
      <c r="H1" s="146">
        <f>VLOOKUP(G1,F2:H25,3)</f>
        <v>67.25</v>
      </c>
      <c r="I1" s="78"/>
      <c r="J1" s="74"/>
      <c r="K1" s="74"/>
      <c r="L1" s="74"/>
      <c r="M1" s="74"/>
      <c r="N1" s="74"/>
      <c r="O1" s="74"/>
    </row>
    <row r="2" spans="1:15" ht="15" x14ac:dyDescent="0.15">
      <c r="A2" s="130">
        <f>'1'!D84</f>
        <v>0</v>
      </c>
      <c r="B2" s="74" t="s">
        <v>128</v>
      </c>
      <c r="C2" s="74"/>
      <c r="D2" s="75"/>
      <c r="E2" s="74"/>
      <c r="F2" s="138"/>
      <c r="G2" s="138">
        <v>17532</v>
      </c>
      <c r="H2" s="142">
        <v>65</v>
      </c>
      <c r="I2" s="78"/>
      <c r="J2" s="74"/>
      <c r="K2" s="74"/>
      <c r="L2" s="74"/>
      <c r="M2" s="74"/>
      <c r="N2" s="74"/>
      <c r="O2" s="74"/>
    </row>
    <row r="3" spans="1:15" x14ac:dyDescent="0.15">
      <c r="A3" s="125">
        <f>'1'!D95</f>
        <v>0</v>
      </c>
      <c r="B3" s="74" t="s">
        <v>65</v>
      </c>
      <c r="C3" s="74"/>
      <c r="D3" s="74"/>
      <c r="E3" s="74"/>
      <c r="F3" s="139">
        <f>G2</f>
        <v>17532</v>
      </c>
      <c r="G3" s="118">
        <v>17868</v>
      </c>
      <c r="H3" s="142">
        <f>65+1/12</f>
        <v>65.083333333333329</v>
      </c>
      <c r="I3" s="74"/>
      <c r="J3" s="74"/>
      <c r="K3" s="74"/>
      <c r="L3" s="74"/>
      <c r="M3" s="74"/>
      <c r="N3" s="74"/>
      <c r="O3" s="74"/>
    </row>
    <row r="4" spans="1:15" x14ac:dyDescent="0.15">
      <c r="A4" s="80">
        <f>'1'!E79</f>
        <v>36526</v>
      </c>
      <c r="B4" s="74" t="s">
        <v>70</v>
      </c>
      <c r="C4" s="74"/>
      <c r="D4" s="74"/>
      <c r="E4" s="74"/>
      <c r="F4" s="139">
        <f t="shared" ref="F4:F12" si="0">G3</f>
        <v>17868</v>
      </c>
      <c r="G4" s="118">
        <v>18203</v>
      </c>
      <c r="H4" s="142">
        <f>65+2/12</f>
        <v>65.166666666666671</v>
      </c>
      <c r="I4" s="74"/>
      <c r="J4" s="74"/>
      <c r="K4" s="74"/>
      <c r="L4" s="74"/>
      <c r="M4" s="74"/>
      <c r="N4" s="74"/>
      <c r="O4" s="74"/>
    </row>
    <row r="5" spans="1:15" x14ac:dyDescent="0.15">
      <c r="A5" s="82"/>
      <c r="B5" s="74"/>
      <c r="C5" s="74"/>
      <c r="D5" s="74"/>
      <c r="E5" s="74"/>
      <c r="F5" s="139">
        <f t="shared" si="0"/>
        <v>18203</v>
      </c>
      <c r="G5" s="138">
        <v>18537</v>
      </c>
      <c r="H5" s="142">
        <f>65+3/12</f>
        <v>65.25</v>
      </c>
      <c r="I5" s="74"/>
      <c r="J5" s="74"/>
      <c r="K5" s="74"/>
      <c r="L5" s="74"/>
      <c r="M5" s="74"/>
      <c r="N5" s="74"/>
      <c r="O5" s="74"/>
    </row>
    <row r="6" spans="1:15" x14ac:dyDescent="0.15">
      <c r="A6" s="83" t="s">
        <v>71</v>
      </c>
      <c r="B6" s="74"/>
      <c r="C6" s="74"/>
      <c r="D6" s="74"/>
      <c r="E6" s="74"/>
      <c r="F6" s="139">
        <f t="shared" si="0"/>
        <v>18537</v>
      </c>
      <c r="G6" s="138">
        <v>18810</v>
      </c>
      <c r="H6" s="142">
        <v>65.5</v>
      </c>
      <c r="I6" s="74"/>
      <c r="J6" s="74"/>
      <c r="K6" s="74"/>
      <c r="L6" s="74"/>
      <c r="M6" s="74"/>
      <c r="N6" s="74"/>
      <c r="O6" s="74"/>
    </row>
    <row r="7" spans="1:15" x14ac:dyDescent="0.15">
      <c r="A7" s="84" t="s">
        <v>72</v>
      </c>
      <c r="B7" s="85" t="s">
        <v>73</v>
      </c>
      <c r="C7" s="85" t="s">
        <v>74</v>
      </c>
      <c r="D7" s="86" t="s">
        <v>75</v>
      </c>
      <c r="E7" s="74"/>
      <c r="F7" s="139">
        <f t="shared" si="0"/>
        <v>18810</v>
      </c>
      <c r="G7" s="140">
        <v>19085</v>
      </c>
      <c r="H7" s="143">
        <v>65.75</v>
      </c>
      <c r="I7" s="86"/>
      <c r="J7" s="74"/>
      <c r="K7" s="74"/>
      <c r="L7" s="74"/>
      <c r="M7" s="74"/>
      <c r="N7" s="74"/>
      <c r="O7" s="74"/>
    </row>
    <row r="8" spans="1:15" x14ac:dyDescent="0.15">
      <c r="A8" s="88" t="s">
        <v>76</v>
      </c>
      <c r="B8" s="89">
        <f>LOOKUP($A$1,$B$73:$O$73,B74:O74)</f>
        <v>20711</v>
      </c>
      <c r="C8" s="90">
        <f ca="1">LOOKUP($A$1,$B$73:$O$73,B80:G80)</f>
        <v>0.3735</v>
      </c>
      <c r="D8" s="91">
        <f ca="1">IF($A$3&gt;$B8,$B8*$C8,$A$3*$C8)</f>
        <v>0</v>
      </c>
      <c r="E8" s="74"/>
      <c r="F8" s="139">
        <f t="shared" si="0"/>
        <v>19085</v>
      </c>
      <c r="G8" s="141">
        <v>19360</v>
      </c>
      <c r="H8" s="144">
        <v>66</v>
      </c>
      <c r="I8" s="91"/>
      <c r="J8" s="74"/>
      <c r="K8" s="74"/>
      <c r="L8" s="74"/>
      <c r="M8" s="74"/>
      <c r="N8" s="74"/>
      <c r="O8" s="74"/>
    </row>
    <row r="9" spans="1:15" x14ac:dyDescent="0.15">
      <c r="A9" s="88" t="s">
        <v>77</v>
      </c>
      <c r="B9" s="89">
        <f>LOOKUP($A$1,$B$73:$O$73,B75:O75)</f>
        <v>34712</v>
      </c>
      <c r="C9" s="90">
        <f ca="1">LOOKUP($A$1,$B$73:$O$73,B81:G81)</f>
        <v>0.3735</v>
      </c>
      <c r="D9" s="91">
        <f ca="1">MAX(IF($A$3&gt;$B9,($B9-$B8)*$C9,($A$3-$B8)*$C9),0)</f>
        <v>0</v>
      </c>
      <c r="E9" s="74"/>
      <c r="F9" s="139">
        <f t="shared" si="0"/>
        <v>19360</v>
      </c>
      <c r="G9" s="141">
        <v>19845</v>
      </c>
      <c r="H9" s="144">
        <f>66+4/12</f>
        <v>66.333333333333329</v>
      </c>
      <c r="I9" s="91"/>
      <c r="J9" s="74"/>
      <c r="K9" s="74"/>
      <c r="L9" s="74"/>
      <c r="M9" s="74"/>
      <c r="N9" s="74"/>
      <c r="O9" s="74"/>
    </row>
    <row r="10" spans="1:15" x14ac:dyDescent="0.15">
      <c r="A10" s="88" t="s">
        <v>78</v>
      </c>
      <c r="B10" s="89">
        <f>LOOKUP($A$1,$B$73:$O$73,B76:O76)</f>
        <v>68507</v>
      </c>
      <c r="C10" s="90">
        <f ca="1">LOOKUP($A$1,$B$73:$O$73,B82:G82)</f>
        <v>0.3735</v>
      </c>
      <c r="D10" s="91">
        <f ca="1">MAX(IF($A$3&gt;$B10,($B10-$B9)*$C10,($A$3-$B9)*$C10),0)</f>
        <v>0</v>
      </c>
      <c r="E10" s="74"/>
      <c r="F10" s="139">
        <f t="shared" si="0"/>
        <v>19845</v>
      </c>
      <c r="G10" s="141">
        <v>20090</v>
      </c>
      <c r="H10" s="144">
        <f>66+8/12</f>
        <v>66.666666666666671</v>
      </c>
      <c r="I10" s="91"/>
      <c r="J10" s="74"/>
      <c r="K10" s="74"/>
      <c r="L10" s="74"/>
      <c r="M10" s="74"/>
      <c r="N10" s="74"/>
      <c r="O10" s="74"/>
    </row>
    <row r="11" spans="1:15" x14ac:dyDescent="0.15">
      <c r="A11" s="88" t="s">
        <v>79</v>
      </c>
      <c r="B11" s="93">
        <v>1E+100</v>
      </c>
      <c r="C11" s="90">
        <f ca="1">LOOKUP($A$1,$B$73:$O$73,B83:G83)</f>
        <v>0.495</v>
      </c>
      <c r="D11" s="91">
        <f ca="1">MAX(IF($A$3&gt;$B11,($B11-$B10)*$C11,($A$3-$B10)*$C11),0)</f>
        <v>0</v>
      </c>
      <c r="E11" s="74"/>
      <c r="F11" s="139">
        <f t="shared" si="0"/>
        <v>20090</v>
      </c>
      <c r="G11" s="141">
        <v>20363</v>
      </c>
      <c r="H11" s="144">
        <v>67</v>
      </c>
      <c r="I11" s="91"/>
      <c r="J11" s="74"/>
      <c r="K11" s="74"/>
      <c r="L11" s="74"/>
      <c r="M11" s="74"/>
      <c r="N11" s="74"/>
      <c r="O11" s="74"/>
    </row>
    <row r="12" spans="1:15" ht="15" x14ac:dyDescent="0.15">
      <c r="A12" s="88"/>
      <c r="B12" s="89"/>
      <c r="C12" s="89"/>
      <c r="D12" s="94">
        <f ca="1">ROUNDDOWN(SUM(D8:D11),0)</f>
        <v>0</v>
      </c>
      <c r="E12" s="74"/>
      <c r="F12" s="139">
        <f t="shared" si="0"/>
        <v>20363</v>
      </c>
      <c r="G12" s="141"/>
      <c r="H12" s="110">
        <v>67.25</v>
      </c>
      <c r="I12" s="95"/>
      <c r="J12" s="74"/>
      <c r="K12" s="74"/>
      <c r="L12" s="74"/>
      <c r="M12" s="74"/>
      <c r="N12" s="74"/>
      <c r="O12" s="74"/>
    </row>
    <row r="13" spans="1:15" ht="15" x14ac:dyDescent="0.15">
      <c r="A13" s="88"/>
      <c r="B13" s="89"/>
      <c r="C13" s="89"/>
      <c r="D13" s="95"/>
      <c r="E13" s="74"/>
      <c r="F13" s="88"/>
      <c r="G13" s="89"/>
      <c r="H13" s="89"/>
      <c r="I13" s="95"/>
      <c r="J13" s="74"/>
      <c r="K13" s="74"/>
      <c r="L13" s="74"/>
      <c r="M13" s="74"/>
      <c r="N13" s="74"/>
      <c r="O13" s="74"/>
    </row>
    <row r="14" spans="1:15" ht="15" x14ac:dyDescent="0.15">
      <c r="A14" s="84" t="s">
        <v>80</v>
      </c>
      <c r="B14" s="96">
        <v>250001</v>
      </c>
      <c r="C14" s="74"/>
      <c r="D14" s="129">
        <f>ROUNDDOWN(SUM(D15:D16),0)</f>
        <v>65625</v>
      </c>
      <c r="E14" s="74"/>
      <c r="F14" s="88"/>
      <c r="G14" s="89"/>
      <c r="H14" s="89"/>
      <c r="I14" s="95"/>
      <c r="J14" s="74"/>
      <c r="K14" s="74"/>
      <c r="L14" s="74"/>
      <c r="M14" s="74"/>
      <c r="N14" s="74"/>
      <c r="O14" s="74"/>
    </row>
    <row r="15" spans="1:15" ht="15" x14ac:dyDescent="0.15">
      <c r="A15" s="84"/>
      <c r="B15" s="74">
        <v>250000</v>
      </c>
      <c r="C15" s="121">
        <f>LOOKUP(A1,B73:O73,B85:O85)</f>
        <v>0.26250000000000001</v>
      </c>
      <c r="D15" s="74">
        <f>IF(B14&gt;B15,B15*C15,B14*C15)</f>
        <v>65625</v>
      </c>
      <c r="E15" s="74"/>
      <c r="F15" s="88"/>
      <c r="G15" s="89"/>
      <c r="H15" s="89"/>
      <c r="I15" s="95"/>
      <c r="J15" s="74"/>
      <c r="K15" s="74"/>
      <c r="L15" s="74"/>
      <c r="M15" s="74"/>
      <c r="N15" s="74"/>
      <c r="O15" s="74"/>
    </row>
    <row r="16" spans="1:15" ht="15" x14ac:dyDescent="0.15">
      <c r="A16" s="74"/>
      <c r="B16" s="89"/>
      <c r="C16" s="97">
        <v>0.25</v>
      </c>
      <c r="D16" s="74">
        <f>IF(B14&gt;B15,(B14-B15)*C16,0)</f>
        <v>0.25</v>
      </c>
      <c r="E16" s="74"/>
      <c r="F16" s="88"/>
      <c r="G16" s="89"/>
      <c r="H16" s="89"/>
      <c r="I16" s="95"/>
      <c r="J16" s="74"/>
      <c r="K16" s="74"/>
      <c r="L16" s="74"/>
      <c r="M16" s="74"/>
      <c r="N16" s="74"/>
      <c r="O16" s="74"/>
    </row>
    <row r="17" spans="1:15" ht="15" x14ac:dyDescent="0.15">
      <c r="A17" s="88"/>
      <c r="B17" s="89"/>
      <c r="C17" s="89"/>
      <c r="D17" s="95"/>
      <c r="E17" s="74"/>
      <c r="F17" s="88"/>
      <c r="G17" s="89"/>
      <c r="H17" s="89"/>
      <c r="I17" s="95"/>
      <c r="J17" s="74"/>
      <c r="K17" s="74"/>
      <c r="L17" s="74"/>
      <c r="M17" s="74"/>
      <c r="N17" s="74"/>
      <c r="O17" s="74"/>
    </row>
    <row r="18" spans="1:15" ht="15" x14ac:dyDescent="0.15">
      <c r="A18" s="84" t="s">
        <v>10</v>
      </c>
      <c r="B18" s="89"/>
      <c r="C18" s="89"/>
      <c r="D18" s="95"/>
      <c r="E18" s="74"/>
      <c r="F18" s="88"/>
      <c r="G18" s="89"/>
      <c r="H18" s="89"/>
      <c r="I18" s="95"/>
      <c r="J18" s="74"/>
      <c r="K18" s="74"/>
      <c r="L18" s="74"/>
      <c r="M18" s="74"/>
      <c r="N18" s="74"/>
      <c r="O18" s="74"/>
    </row>
    <row r="19" spans="1:15" ht="15" x14ac:dyDescent="0.15">
      <c r="A19" s="126">
        <f>'1'!E125</f>
        <v>0</v>
      </c>
      <c r="B19" s="89">
        <f>LOOKUP(A1,B87:O87,B88:O88)</f>
        <v>200000</v>
      </c>
      <c r="C19" s="97">
        <f>LOOKUP(A1,B87:O87,B89:O89)</f>
        <v>0.16500000000000001</v>
      </c>
      <c r="D19" s="94">
        <f>IF(A19&lt;B19,A19*C19,(B19*C19)+((A19-B19)*C20))</f>
        <v>0</v>
      </c>
      <c r="E19" s="74"/>
      <c r="F19" s="88"/>
      <c r="G19" s="89"/>
      <c r="H19" s="89"/>
      <c r="I19" s="95"/>
      <c r="J19" s="74"/>
      <c r="K19" s="74"/>
      <c r="L19" s="74"/>
      <c r="M19" s="74"/>
      <c r="N19" s="74"/>
      <c r="O19" s="74"/>
    </row>
    <row r="20" spans="1:15" ht="15" x14ac:dyDescent="0.15">
      <c r="A20" s="88"/>
      <c r="B20" s="89"/>
      <c r="C20" s="97">
        <f>LOOKUP(A1,B87:O87,B90:O90)</f>
        <v>0.25</v>
      </c>
      <c r="D20" s="95"/>
      <c r="E20" s="74"/>
      <c r="F20" s="88"/>
      <c r="G20" s="89"/>
      <c r="H20" s="89"/>
      <c r="I20" s="95"/>
      <c r="J20" s="74"/>
      <c r="K20" s="74"/>
      <c r="L20" s="74"/>
      <c r="M20" s="74"/>
      <c r="N20" s="74"/>
      <c r="O20" s="74"/>
    </row>
    <row r="21" spans="1:15" x14ac:dyDescent="0.15">
      <c r="A21" s="83" t="s">
        <v>81</v>
      </c>
      <c r="B21" s="74"/>
      <c r="C21" s="74"/>
      <c r="D21" s="74"/>
      <c r="E21" s="74"/>
      <c r="F21" s="82"/>
      <c r="G21" s="77"/>
      <c r="H21" s="74"/>
      <c r="I21" s="74"/>
      <c r="J21" s="74"/>
      <c r="K21" s="74"/>
      <c r="L21" s="74"/>
      <c r="M21" s="74"/>
      <c r="N21" s="74"/>
      <c r="O21" s="74"/>
    </row>
    <row r="22" spans="1:15" x14ac:dyDescent="0.15">
      <c r="A22" s="84" t="s">
        <v>82</v>
      </c>
      <c r="B22" s="85">
        <f>LOOKUP(A1,B73:O73,B92:O92)</f>
        <v>2711</v>
      </c>
      <c r="C22" s="85"/>
      <c r="D22" s="86"/>
      <c r="E22" s="74"/>
      <c r="F22" s="84"/>
      <c r="G22" s="85"/>
      <c r="H22" s="85"/>
      <c r="I22" s="86"/>
      <c r="J22" s="74"/>
      <c r="K22" s="74"/>
      <c r="L22" s="74"/>
      <c r="M22" s="74"/>
      <c r="N22" s="74"/>
      <c r="O22" s="74"/>
    </row>
    <row r="23" spans="1:15" x14ac:dyDescent="0.15">
      <c r="A23" s="88" t="s">
        <v>83</v>
      </c>
      <c r="B23" s="89">
        <f>LOOKUP(A1,B73:O73,B94:O94)</f>
        <v>0</v>
      </c>
      <c r="C23" s="89"/>
      <c r="D23" s="91"/>
      <c r="E23" s="74"/>
      <c r="F23" s="88"/>
      <c r="G23" s="89"/>
      <c r="H23" s="89"/>
      <c r="I23" s="91"/>
      <c r="J23" s="74"/>
      <c r="K23" s="74"/>
      <c r="L23" s="74"/>
      <c r="M23" s="74"/>
      <c r="N23" s="74"/>
      <c r="O23" s="74"/>
    </row>
    <row r="24" spans="1:15" ht="15" x14ac:dyDescent="0.15">
      <c r="A24" s="88" t="s">
        <v>84</v>
      </c>
      <c r="B24" s="89">
        <f>LOOKUP($A$1,$B$73:$O$73,B74:O74)</f>
        <v>20711</v>
      </c>
      <c r="C24" s="89">
        <f>LOOKUP($A$1,$B$73:$O$73,B93:O93)</f>
        <v>5.672E-2</v>
      </c>
      <c r="D24" s="94">
        <f ca="1">MIN(MAX(IF(A3&gt;B24,B22-((A3-B24)*C24),B22),B23),D12)</f>
        <v>0</v>
      </c>
      <c r="E24" s="74"/>
      <c r="F24" s="88"/>
      <c r="G24" s="89"/>
      <c r="H24" s="89"/>
      <c r="I24" s="95"/>
      <c r="J24" s="74"/>
      <c r="K24" s="74"/>
      <c r="L24" s="74"/>
      <c r="M24" s="74"/>
      <c r="N24" s="74"/>
      <c r="O24" s="74"/>
    </row>
    <row r="25" spans="1:15" x14ac:dyDescent="0.15">
      <c r="A25" s="88"/>
      <c r="B25" s="89"/>
      <c r="C25" s="89"/>
      <c r="D25" s="98"/>
      <c r="E25" s="89"/>
      <c r="F25" s="99"/>
      <c r="G25" s="91"/>
      <c r="H25" s="91"/>
      <c r="I25" s="74"/>
      <c r="J25" s="89"/>
      <c r="K25" s="89"/>
      <c r="L25" s="89"/>
      <c r="M25" s="98"/>
      <c r="N25" s="89"/>
      <c r="O25" s="100"/>
    </row>
    <row r="26" spans="1:15" x14ac:dyDescent="0.15">
      <c r="A26" s="88"/>
      <c r="B26" s="89"/>
      <c r="C26" s="89"/>
      <c r="D26" s="98"/>
      <c r="E26" s="89"/>
      <c r="F26" s="99"/>
      <c r="G26" s="91"/>
      <c r="H26" s="91"/>
      <c r="I26" s="74"/>
      <c r="J26" s="89"/>
      <c r="K26" s="89"/>
      <c r="L26" s="89"/>
      <c r="M26" s="98"/>
      <c r="N26" s="89"/>
      <c r="O26" s="100"/>
    </row>
    <row r="27" spans="1:15" x14ac:dyDescent="0.15">
      <c r="A27" s="84" t="s">
        <v>85</v>
      </c>
      <c r="B27" s="91">
        <f>A2</f>
        <v>0</v>
      </c>
      <c r="C27" s="89"/>
      <c r="D27" s="89"/>
      <c r="E27" s="89"/>
      <c r="F27" s="92"/>
      <c r="G27" s="89"/>
      <c r="H27" s="89"/>
      <c r="I27" s="89"/>
      <c r="J27" s="74"/>
      <c r="K27" s="89"/>
      <c r="L27" s="89"/>
      <c r="M27" s="89"/>
      <c r="N27" s="89"/>
      <c r="O27" s="89"/>
    </row>
    <row r="28" spans="1:15" x14ac:dyDescent="0.15">
      <c r="A28" s="88" t="s">
        <v>76</v>
      </c>
      <c r="B28" s="74">
        <f>LOOKUP($A$1,$B$96:$O$96,B97:O97)</f>
        <v>9921</v>
      </c>
      <c r="C28" s="74">
        <f>LOOKUP($A$1,$B$96:$O$96,B102:O102)</f>
        <v>2.8119999999999999E-2</v>
      </c>
      <c r="D28" s="91">
        <f>IF(B27&gt;$B28,$B28*$C28,B27*$C28)</f>
        <v>0</v>
      </c>
      <c r="E28" s="74"/>
      <c r="F28" s="92"/>
      <c r="G28" s="74"/>
      <c r="H28" s="74"/>
      <c r="I28" s="91"/>
      <c r="J28" s="74"/>
      <c r="K28" s="74"/>
      <c r="L28" s="74"/>
      <c r="M28" s="74"/>
      <c r="N28" s="74"/>
      <c r="O28" s="74"/>
    </row>
    <row r="29" spans="1:15" x14ac:dyDescent="0.15">
      <c r="A29" s="88" t="s">
        <v>77</v>
      </c>
      <c r="B29" s="74">
        <f>LOOKUP($A$1,$B$96:$O$96,B98:O98)</f>
        <v>21430</v>
      </c>
      <c r="C29" s="74">
        <f>LOOKUP($A$1,$B$96:$O$96,B103:O103)</f>
        <v>0.28811999999999999</v>
      </c>
      <c r="D29" s="91">
        <f>MAX(IF(B27&gt;$B29,($B29-$B28)*$C29,(B27-$B28)*$C29),0)</f>
        <v>0</v>
      </c>
      <c r="E29" s="85"/>
      <c r="F29" s="92"/>
      <c r="G29" s="74"/>
      <c r="H29" s="74"/>
      <c r="I29" s="91"/>
      <c r="J29" s="74"/>
      <c r="K29" s="85"/>
      <c r="L29" s="85"/>
      <c r="M29" s="85"/>
      <c r="N29" s="85"/>
      <c r="O29" s="85"/>
    </row>
    <row r="30" spans="1:15" x14ac:dyDescent="0.15">
      <c r="A30" s="88" t="s">
        <v>78</v>
      </c>
      <c r="B30" s="74">
        <f>LOOKUP($A$1,$B$96:$O$96,B99:O99)</f>
        <v>34954</v>
      </c>
      <c r="C30" s="74">
        <f>LOOKUP($A$1,$B$96:$O$96,B104:O104)</f>
        <v>1.6559999999999998E-2</v>
      </c>
      <c r="D30" s="91">
        <f>MAX(IF(B27&gt;$B30,($B30-$B29)*$C30,(B27-$B29)*$C30),0)</f>
        <v>0</v>
      </c>
      <c r="E30" s="89"/>
      <c r="F30" s="92"/>
      <c r="G30" s="74"/>
      <c r="H30" s="74"/>
      <c r="I30" s="91"/>
      <c r="J30" s="74"/>
      <c r="K30" s="89"/>
      <c r="L30" s="89"/>
      <c r="M30" s="98"/>
      <c r="N30" s="89"/>
      <c r="O30" s="100"/>
    </row>
    <row r="31" spans="1:15" x14ac:dyDescent="0.15">
      <c r="A31" s="88" t="s">
        <v>79</v>
      </c>
      <c r="B31" s="74">
        <f>LOOKUP($A$1,$B$96:$O$96,B100:O100)</f>
        <v>98604</v>
      </c>
      <c r="C31" s="74">
        <f>-1*(LOOKUP($A$1,$B$96:$O$96,B105:O105))</f>
        <v>-0.06</v>
      </c>
      <c r="D31" s="91">
        <f>IF(B27&lt;B30,0,IF(B27&gt;$B31,($B31-$B30)*$C31,(B27-$B30)*$C31))</f>
        <v>0</v>
      </c>
      <c r="E31" s="89"/>
      <c r="F31" s="92"/>
      <c r="G31" s="74"/>
      <c r="H31" s="74"/>
      <c r="I31" s="91"/>
      <c r="J31" s="74"/>
      <c r="K31" s="89"/>
      <c r="L31" s="89"/>
      <c r="M31" s="98"/>
      <c r="N31" s="89"/>
      <c r="O31" s="100"/>
    </row>
    <row r="32" spans="1:15" ht="15" x14ac:dyDescent="0.15">
      <c r="A32" s="88" t="s">
        <v>86</v>
      </c>
      <c r="B32" s="89">
        <f>LOOKUP($A$1,$B$96:$O$96,B107:O107)</f>
        <v>3819</v>
      </c>
      <c r="C32" s="89">
        <f>LOOKUP($A$1,$B$96:$O$96,B108:O108)</f>
        <v>0</v>
      </c>
      <c r="D32" s="94">
        <f>MAX(SUM(D28:D31),C32)</f>
        <v>0</v>
      </c>
      <c r="E32" s="89"/>
      <c r="F32" s="92"/>
      <c r="G32" s="89"/>
      <c r="H32" s="89"/>
      <c r="I32" s="95"/>
      <c r="J32" s="74"/>
      <c r="K32" s="89"/>
      <c r="L32" s="89"/>
      <c r="M32" s="98"/>
      <c r="N32" s="89"/>
      <c r="O32" s="100"/>
    </row>
    <row r="33" spans="1:15" x14ac:dyDescent="0.15">
      <c r="A33" s="88"/>
      <c r="B33" s="89"/>
      <c r="C33" s="89"/>
      <c r="D33" s="91"/>
      <c r="E33" s="89"/>
      <c r="F33" s="99"/>
      <c r="G33" s="91"/>
      <c r="H33" s="91"/>
      <c r="I33" s="74"/>
      <c r="J33" s="89"/>
      <c r="K33" s="89"/>
      <c r="L33" s="89"/>
      <c r="M33" s="98"/>
      <c r="N33" s="89"/>
      <c r="O33" s="100"/>
    </row>
    <row r="34" spans="1:15" x14ac:dyDescent="0.15">
      <c r="A34" s="88" t="s">
        <v>66</v>
      </c>
      <c r="B34" s="101">
        <f>'1'!E8</f>
        <v>0</v>
      </c>
      <c r="C34" s="89"/>
      <c r="D34" s="91"/>
      <c r="E34" s="89"/>
      <c r="F34" s="88"/>
      <c r="G34" s="89"/>
      <c r="H34" s="89"/>
      <c r="I34" s="91"/>
      <c r="J34" s="89"/>
      <c r="K34" s="89"/>
      <c r="L34" s="89"/>
      <c r="M34" s="98"/>
      <c r="N34" s="89"/>
      <c r="O34" s="100"/>
    </row>
    <row r="35" spans="1:15" ht="15" x14ac:dyDescent="0.15">
      <c r="A35" s="84" t="s">
        <v>87</v>
      </c>
      <c r="B35" s="90">
        <f>LOOKUP(A1,B73:O73,B110:O110)</f>
        <v>3.5000000000000003E-2</v>
      </c>
      <c r="C35" s="89">
        <f>IF(MAX(A3-B10,0)&gt;B34,B34,MAX((A3-B10),0))</f>
        <v>0</v>
      </c>
      <c r="D35" s="102">
        <f>ROUNDDOWN(B35*C35,0)</f>
        <v>0</v>
      </c>
      <c r="E35" s="89"/>
      <c r="F35" s="88"/>
      <c r="G35" s="90"/>
      <c r="H35" s="89"/>
      <c r="I35" s="103"/>
      <c r="J35" s="89"/>
      <c r="K35" s="89"/>
      <c r="L35" s="89"/>
      <c r="M35" s="98"/>
      <c r="N35" s="89"/>
      <c r="O35" s="100"/>
    </row>
    <row r="36" spans="1:15" x14ac:dyDescent="0.15">
      <c r="A36" s="88"/>
      <c r="B36" s="89"/>
      <c r="C36" s="89"/>
      <c r="D36" s="98"/>
      <c r="E36" s="89"/>
      <c r="F36" s="100"/>
      <c r="G36" s="91"/>
      <c r="H36" s="91"/>
      <c r="I36" s="74"/>
      <c r="J36" s="89"/>
      <c r="K36" s="89"/>
      <c r="L36" s="89"/>
      <c r="M36" s="98"/>
      <c r="N36" s="89"/>
      <c r="O36" s="100"/>
    </row>
    <row r="37" spans="1:15" ht="15" x14ac:dyDescent="0.15">
      <c r="A37" s="84" t="s">
        <v>88</v>
      </c>
      <c r="B37" s="104" t="b">
        <v>0</v>
      </c>
      <c r="C37" s="89">
        <f>IF(B37,LOOKUP(A1,B129:O129,B130:O130),0)</f>
        <v>0</v>
      </c>
      <c r="D37" s="105">
        <f>MIN(C37,A2)</f>
        <v>0</v>
      </c>
      <c r="E37" s="89"/>
      <c r="F37" s="100"/>
      <c r="G37" s="91"/>
      <c r="H37" s="91"/>
      <c r="I37" s="74"/>
      <c r="J37" s="89"/>
      <c r="K37" s="89"/>
      <c r="L37" s="89"/>
      <c r="M37" s="98"/>
      <c r="N37" s="89"/>
      <c r="O37" s="100"/>
    </row>
    <row r="38" spans="1:15" ht="15" x14ac:dyDescent="0.15">
      <c r="A38" s="84" t="s">
        <v>89</v>
      </c>
      <c r="B38" s="104"/>
      <c r="C38" s="89"/>
      <c r="D38" s="105">
        <f>IF(B38,LOOKUP(A1,B129:O129,B131:O131),0)</f>
        <v>0</v>
      </c>
      <c r="E38" s="89"/>
      <c r="F38" s="100"/>
      <c r="G38" s="91"/>
      <c r="H38" s="91"/>
      <c r="I38" s="74"/>
      <c r="J38" s="89"/>
      <c r="K38" s="89"/>
      <c r="L38" s="89"/>
      <c r="M38" s="98"/>
      <c r="N38" s="89"/>
      <c r="O38" s="100"/>
    </row>
    <row r="39" spans="1:15" ht="15" x14ac:dyDescent="0.15">
      <c r="A39" s="84"/>
      <c r="B39" s="106"/>
      <c r="C39" s="89"/>
      <c r="D39" s="107"/>
      <c r="E39" s="89"/>
      <c r="F39" s="100"/>
      <c r="G39" s="91"/>
      <c r="H39" s="91"/>
      <c r="I39" s="74"/>
      <c r="J39" s="89"/>
      <c r="K39" s="89"/>
      <c r="L39" s="89"/>
      <c r="M39" s="98"/>
      <c r="N39" s="89"/>
      <c r="O39" s="100"/>
    </row>
    <row r="40" spans="1:15" ht="15" x14ac:dyDescent="0.15">
      <c r="A40" s="84" t="s">
        <v>90</v>
      </c>
      <c r="B40" s="108">
        <f>A2-D37-D38-D50</f>
        <v>0</v>
      </c>
      <c r="C40" s="89">
        <f>LOOKUP(A1,B134:O134,B135:O135)</f>
        <v>0.14000000000000001</v>
      </c>
      <c r="D40" s="111">
        <f>ROUNDUP(C40*B40,0)</f>
        <v>0</v>
      </c>
      <c r="E40" s="89"/>
      <c r="F40" s="100"/>
      <c r="G40" s="91"/>
      <c r="H40" s="91"/>
      <c r="I40" s="74"/>
      <c r="J40" s="89"/>
      <c r="K40" s="89"/>
      <c r="L40" s="89"/>
      <c r="M40" s="98"/>
      <c r="N40" s="89"/>
      <c r="O40" s="100"/>
    </row>
    <row r="41" spans="1:15" ht="15" x14ac:dyDescent="0.15">
      <c r="A41" s="88"/>
      <c r="B41" s="106"/>
      <c r="C41" s="89"/>
      <c r="D41" s="107"/>
      <c r="E41" s="89"/>
      <c r="F41" s="100"/>
      <c r="G41" s="91"/>
      <c r="H41" s="91"/>
      <c r="I41" s="74"/>
      <c r="J41" s="89"/>
      <c r="K41" s="89"/>
      <c r="L41" s="89"/>
      <c r="M41" s="98"/>
      <c r="N41" s="89"/>
      <c r="O41" s="100"/>
    </row>
    <row r="42" spans="1:15" x14ac:dyDescent="0.15">
      <c r="A42" s="84" t="s">
        <v>91</v>
      </c>
      <c r="B42" s="89">
        <f>LOOKUP(A1,B113:O113,B114:O114)</f>
        <v>5072</v>
      </c>
      <c r="C42" s="89">
        <f>LOOKUP(A1,B113:O113,B116:O116)</f>
        <v>0.11449999999999999</v>
      </c>
      <c r="D42" s="109">
        <f>ROUNDUP(IF(A3&gt;B42,(C42*(A3-B42))+B43,B43),0)</f>
        <v>0</v>
      </c>
      <c r="E42" s="89"/>
      <c r="F42" s="100"/>
      <c r="G42" s="91"/>
      <c r="H42" s="91"/>
      <c r="I42" s="74"/>
      <c r="J42" s="89"/>
      <c r="K42" s="89"/>
      <c r="L42" s="89"/>
      <c r="M42" s="98"/>
      <c r="N42" s="89"/>
      <c r="O42" s="100"/>
    </row>
    <row r="43" spans="1:15" x14ac:dyDescent="0.15">
      <c r="A43" s="88" t="s">
        <v>92</v>
      </c>
      <c r="B43" s="89">
        <f>LOOKUP($A$1,$B$113:$O$113,B117:O117)</f>
        <v>0</v>
      </c>
      <c r="C43" s="89"/>
      <c r="D43" s="109"/>
      <c r="E43" s="89"/>
      <c r="F43" s="100"/>
      <c r="G43" s="91"/>
      <c r="H43" s="91"/>
      <c r="I43" s="74"/>
      <c r="J43" s="89"/>
      <c r="K43" s="89"/>
      <c r="L43" s="89"/>
      <c r="M43" s="98"/>
      <c r="N43" s="89"/>
      <c r="O43" s="100"/>
    </row>
    <row r="44" spans="1:15" ht="15" x14ac:dyDescent="0.15">
      <c r="A44" s="88" t="s">
        <v>93</v>
      </c>
      <c r="B44" s="89">
        <f>LOOKUP($A$1,$B$113:$O$113,B118:O118)</f>
        <v>2881</v>
      </c>
      <c r="C44" s="89"/>
      <c r="D44" s="102">
        <f>MIN(D42,B44)</f>
        <v>0</v>
      </c>
      <c r="E44" s="89"/>
      <c r="F44" s="100"/>
      <c r="G44" s="91"/>
      <c r="H44" s="91"/>
      <c r="I44" s="74"/>
      <c r="J44" s="89"/>
      <c r="K44" s="89"/>
      <c r="L44" s="89"/>
      <c r="M44" s="98"/>
      <c r="N44" s="89"/>
      <c r="O44" s="100"/>
    </row>
    <row r="45" spans="1:15" x14ac:dyDescent="0.15">
      <c r="A45" s="88"/>
      <c r="B45" s="89"/>
      <c r="C45" s="89"/>
      <c r="D45" s="98"/>
      <c r="E45" s="89"/>
      <c r="F45" s="100"/>
      <c r="G45" s="91"/>
      <c r="H45" s="91"/>
      <c r="I45" s="74"/>
      <c r="J45" s="89"/>
      <c r="K45" s="89"/>
      <c r="L45" s="89"/>
      <c r="M45" s="98"/>
      <c r="N45" s="89"/>
      <c r="O45" s="100"/>
    </row>
    <row r="46" spans="1:15" ht="15" x14ac:dyDescent="0.15">
      <c r="A46" s="84" t="s">
        <v>94</v>
      </c>
      <c r="B46" s="89">
        <f>LOOKUP(A1,B120:O120,B123:O123)</f>
        <v>57232</v>
      </c>
      <c r="C46" s="89">
        <f>LOOKUP(A1,B120:O120,B122:O122)</f>
        <v>5.45E-2</v>
      </c>
      <c r="D46" s="102">
        <f>IF($A$3&gt;B46,B46*C46,A3*C46)</f>
        <v>0</v>
      </c>
      <c r="E46" s="89"/>
      <c r="F46" s="100"/>
      <c r="G46" s="91"/>
      <c r="H46" s="91"/>
      <c r="I46" s="74"/>
      <c r="J46" s="89"/>
      <c r="K46" s="89"/>
      <c r="L46" s="89"/>
      <c r="M46" s="98"/>
      <c r="N46" s="89"/>
      <c r="O46" s="100"/>
    </row>
    <row r="47" spans="1:15" ht="15" x14ac:dyDescent="0.15">
      <c r="A47" s="84" t="s">
        <v>95</v>
      </c>
      <c r="B47" s="89">
        <f>LOOKUP(A1,B120:O120,B123:O123)</f>
        <v>57232</v>
      </c>
      <c r="C47" s="89">
        <f>LOOKUP(A1,B120:O120,B121:O121)</f>
        <v>6.7000000000000004E-2</v>
      </c>
      <c r="D47" s="102">
        <f>IF($A$3&gt;B47,B47*C47,A3*C47)</f>
        <v>0</v>
      </c>
      <c r="E47" s="89"/>
      <c r="F47" s="100"/>
      <c r="G47" s="91"/>
      <c r="H47" s="91"/>
      <c r="I47" s="74"/>
      <c r="J47" s="89"/>
      <c r="K47" s="89"/>
      <c r="L47" s="89"/>
      <c r="M47" s="98"/>
      <c r="N47" s="89"/>
      <c r="O47" s="100"/>
    </row>
    <row r="48" spans="1:15" x14ac:dyDescent="0.15">
      <c r="A48" s="88"/>
      <c r="B48" s="89"/>
      <c r="C48" s="89"/>
      <c r="D48" s="98"/>
      <c r="E48" s="89"/>
      <c r="F48" s="100"/>
      <c r="G48" s="91"/>
      <c r="H48" s="91"/>
      <c r="I48" s="74"/>
      <c r="J48" s="89"/>
      <c r="K48" s="89"/>
      <c r="L48" s="89"/>
      <c r="M48" s="98"/>
      <c r="N48" s="89"/>
      <c r="O48" s="100"/>
    </row>
    <row r="49" spans="1:15" x14ac:dyDescent="0.15">
      <c r="A49" s="84" t="s">
        <v>96</v>
      </c>
      <c r="B49" s="89">
        <f>LOOKUP(A1,B125:O125,B127:O127)</f>
        <v>9218</v>
      </c>
      <c r="C49" s="89">
        <f>LOOKUP(A1,B125:O125,B126:O126)</f>
        <v>9.4399999999999998E-2</v>
      </c>
      <c r="D49" s="133">
        <f>MIN(A2*C49,B49)</f>
        <v>0</v>
      </c>
      <c r="E49" s="89"/>
      <c r="F49" s="100"/>
      <c r="G49" s="91"/>
      <c r="H49" s="91"/>
      <c r="I49" s="74"/>
      <c r="J49" s="89"/>
      <c r="K49" s="89"/>
      <c r="L49" s="89"/>
      <c r="M49" s="98"/>
      <c r="N49" s="89"/>
      <c r="O49" s="100"/>
    </row>
    <row r="50" spans="1:15" ht="15" x14ac:dyDescent="0.15">
      <c r="A50" s="88" t="b">
        <v>0</v>
      </c>
      <c r="B50" s="89">
        <f>B37*A50</f>
        <v>0</v>
      </c>
      <c r="C50" s="89"/>
      <c r="D50" s="102">
        <f>IF(B50=1,D49,0)</f>
        <v>0</v>
      </c>
      <c r="E50" s="89"/>
      <c r="F50" s="100"/>
      <c r="G50" s="91"/>
      <c r="H50" s="91"/>
      <c r="I50" s="74"/>
      <c r="J50" s="89"/>
      <c r="K50" s="89"/>
      <c r="L50" s="89"/>
      <c r="M50" s="98"/>
      <c r="N50" s="89"/>
      <c r="O50" s="100"/>
    </row>
    <row r="51" spans="1:15" x14ac:dyDescent="0.15">
      <c r="A51" s="88"/>
      <c r="B51" s="89"/>
      <c r="C51" s="89"/>
      <c r="D51" s="98"/>
      <c r="E51" s="89"/>
      <c r="F51" s="100"/>
      <c r="G51" s="91"/>
      <c r="H51" s="91"/>
      <c r="I51" s="74"/>
      <c r="J51" s="89"/>
      <c r="K51" s="89"/>
      <c r="L51" s="89"/>
      <c r="M51" s="98"/>
      <c r="N51" s="89"/>
      <c r="O51" s="100"/>
    </row>
    <row r="52" spans="1:15" ht="15" x14ac:dyDescent="0.15">
      <c r="A52" s="84" t="s">
        <v>8</v>
      </c>
      <c r="B52" s="101">
        <f>'1'!E7</f>
        <v>0</v>
      </c>
      <c r="C52" s="89"/>
      <c r="D52" s="94">
        <f>SUM(D53:D57)</f>
        <v>0</v>
      </c>
      <c r="E52" s="89"/>
      <c r="F52" s="100"/>
      <c r="G52" s="91"/>
      <c r="H52" s="91"/>
      <c r="I52" s="74"/>
      <c r="J52" s="89"/>
      <c r="K52" s="89"/>
      <c r="L52" s="89"/>
      <c r="M52" s="98"/>
      <c r="N52" s="89"/>
      <c r="O52" s="100"/>
    </row>
    <row r="53" spans="1:15" x14ac:dyDescent="0.15">
      <c r="A53" s="88" t="s">
        <v>76</v>
      </c>
      <c r="B53" s="89">
        <f>A139</f>
        <v>12500</v>
      </c>
      <c r="C53" s="90">
        <f>LOOKUP($A$1,$B$137:$O$137,B139:O139)</f>
        <v>2E-3</v>
      </c>
      <c r="D53" s="110">
        <f>IF($B$52&lt;B53,0,IF($B$52&lt;B54,$B$52*C53,0))</f>
        <v>0</v>
      </c>
      <c r="E53" s="89"/>
      <c r="F53" s="100"/>
      <c r="G53" s="91"/>
      <c r="H53" s="91"/>
      <c r="I53" s="74"/>
      <c r="J53" s="89"/>
      <c r="K53" s="89"/>
      <c r="L53" s="89"/>
      <c r="M53" s="98"/>
      <c r="N53" s="89"/>
      <c r="O53" s="100"/>
    </row>
    <row r="54" spans="1:15" x14ac:dyDescent="0.15">
      <c r="A54" s="88" t="s">
        <v>77</v>
      </c>
      <c r="B54" s="89">
        <f>A140</f>
        <v>25000</v>
      </c>
      <c r="C54" s="90">
        <f>LOOKUP($A$1,$B$137:$O$137,B140:O140)</f>
        <v>3.5000000000000001E-3</v>
      </c>
      <c r="D54" s="110">
        <f>IF($B$52&lt;B54,0,IF($B$52&lt;B55,$B$52*C54,0))</f>
        <v>0</v>
      </c>
      <c r="E54" s="89"/>
      <c r="F54" s="100"/>
      <c r="G54" s="91"/>
      <c r="H54" s="91"/>
      <c r="I54" s="74"/>
      <c r="J54" s="89"/>
      <c r="K54" s="89"/>
      <c r="L54" s="89"/>
      <c r="M54" s="98"/>
      <c r="N54" s="89"/>
      <c r="O54" s="100"/>
    </row>
    <row r="55" spans="1:15" x14ac:dyDescent="0.15">
      <c r="A55" s="88" t="s">
        <v>78</v>
      </c>
      <c r="B55" s="89">
        <f>A141</f>
        <v>50000</v>
      </c>
      <c r="C55" s="90">
        <f>LOOKUP($A$1,$B$137:$O$137,B141:O141)</f>
        <v>4.4999999999999997E-3</v>
      </c>
      <c r="D55" s="110">
        <f>IF($B$52&lt;B55,0,IF($B$52&lt;B56,$B$52*C55,0))</f>
        <v>0</v>
      </c>
      <c r="E55" s="89"/>
      <c r="F55" s="100"/>
      <c r="G55" s="91"/>
      <c r="H55" s="91"/>
      <c r="I55" s="74"/>
      <c r="J55" s="89"/>
      <c r="K55" s="89"/>
      <c r="L55" s="89"/>
      <c r="M55" s="98"/>
      <c r="N55" s="89"/>
      <c r="O55" s="100"/>
    </row>
    <row r="56" spans="1:15" x14ac:dyDescent="0.15">
      <c r="A56" s="88" t="s">
        <v>79</v>
      </c>
      <c r="B56" s="89">
        <f>A142</f>
        <v>75000</v>
      </c>
      <c r="C56" s="90">
        <f>LOOKUP($A$1,$B$137:$O$137,B142:O142)</f>
        <v>6.0000000000000001E-3</v>
      </c>
      <c r="D56" s="110">
        <f>IF($B$52&lt;B56,0,IF($B$52&lt;B57,$B$52*C56,0))</f>
        <v>0</v>
      </c>
      <c r="E56" s="89"/>
      <c r="F56" s="100"/>
      <c r="G56" s="91"/>
      <c r="H56" s="91"/>
      <c r="I56" s="74"/>
      <c r="J56" s="89"/>
      <c r="K56" s="89"/>
      <c r="L56" s="89"/>
      <c r="M56" s="98"/>
      <c r="N56" s="89"/>
      <c r="O56" s="100"/>
    </row>
    <row r="57" spans="1:15" x14ac:dyDescent="0.15">
      <c r="A57" s="88" t="s">
        <v>97</v>
      </c>
      <c r="B57" s="89">
        <f>A143</f>
        <v>1090000</v>
      </c>
      <c r="C57" s="90">
        <f>LOOKUP($A$1,$B$137:$O$137,B143:O143)</f>
        <v>2.35E-2</v>
      </c>
      <c r="D57" s="110">
        <f>IF($B$52&gt;B57,(C56*B57)+(C57*(B52-B57)),0)</f>
        <v>0</v>
      </c>
      <c r="E57" s="89"/>
      <c r="F57" s="100"/>
      <c r="G57" s="91"/>
      <c r="H57" s="91"/>
      <c r="I57" s="74"/>
      <c r="J57" s="89"/>
      <c r="K57" s="89"/>
      <c r="L57" s="89"/>
      <c r="M57" s="98"/>
      <c r="N57" s="89"/>
      <c r="O57" s="100"/>
    </row>
    <row r="58" spans="1:15" x14ac:dyDescent="0.15">
      <c r="A58" s="88"/>
      <c r="B58" s="89"/>
      <c r="C58" s="89"/>
      <c r="D58" s="98"/>
      <c r="E58" s="89"/>
      <c r="F58" s="100"/>
      <c r="G58" s="91"/>
      <c r="H58" s="91"/>
      <c r="I58" s="74"/>
      <c r="J58" s="89"/>
      <c r="K58" s="89"/>
      <c r="L58" s="89"/>
      <c r="M58" s="98"/>
      <c r="N58" s="89"/>
      <c r="O58" s="100"/>
    </row>
    <row r="59" spans="1:15" ht="15" x14ac:dyDescent="0.15">
      <c r="A59" s="84" t="s">
        <v>21</v>
      </c>
      <c r="B59" s="101">
        <f>'1'!E28</f>
        <v>0</v>
      </c>
      <c r="C59" s="89"/>
      <c r="D59" s="111">
        <f>SUM(D60:D63)</f>
        <v>0</v>
      </c>
      <c r="E59" s="89"/>
      <c r="F59" s="100"/>
      <c r="G59" s="91"/>
      <c r="H59" s="91"/>
      <c r="I59" s="74"/>
      <c r="J59" s="89"/>
      <c r="K59" s="89"/>
      <c r="L59" s="89"/>
      <c r="M59" s="98"/>
      <c r="N59" s="89"/>
      <c r="O59" s="100"/>
    </row>
    <row r="60" spans="1:15" x14ac:dyDescent="0.15">
      <c r="A60" s="88" t="s">
        <v>76</v>
      </c>
      <c r="B60" s="89">
        <v>525</v>
      </c>
      <c r="C60" s="98">
        <v>1.2500000000000001E-2</v>
      </c>
      <c r="D60" s="110">
        <f>IF($B$59&lt;B60,0,IF($B$59&lt;B61,$A$2*C60,0))</f>
        <v>0</v>
      </c>
      <c r="E60" s="89"/>
      <c r="F60" s="100"/>
      <c r="G60" s="91"/>
      <c r="H60" s="91"/>
      <c r="I60" s="74"/>
      <c r="J60" s="89"/>
      <c r="K60" s="89"/>
      <c r="L60" s="89"/>
      <c r="M60" s="98"/>
      <c r="N60" s="89"/>
      <c r="O60" s="100"/>
    </row>
    <row r="61" spans="1:15" x14ac:dyDescent="0.15">
      <c r="A61" s="88" t="s">
        <v>77</v>
      </c>
      <c r="B61" s="89">
        <v>875</v>
      </c>
      <c r="C61" s="97">
        <v>0.02</v>
      </c>
      <c r="D61" s="110">
        <f>IF($B$59&lt;B61,0,IF($B$59&lt;B62,$A$2*C61,0))</f>
        <v>0</v>
      </c>
      <c r="E61" s="89"/>
      <c r="F61" s="100"/>
      <c r="G61" s="91"/>
      <c r="H61" s="91"/>
      <c r="I61" s="74"/>
      <c r="J61" s="89"/>
      <c r="K61" s="89"/>
      <c r="L61" s="89"/>
      <c r="M61" s="98"/>
      <c r="N61" s="89"/>
      <c r="O61" s="100"/>
    </row>
    <row r="62" spans="1:15" x14ac:dyDescent="0.15">
      <c r="A62" s="88" t="s">
        <v>78</v>
      </c>
      <c r="B62" s="89">
        <v>1225</v>
      </c>
      <c r="C62" s="97">
        <v>0.03</v>
      </c>
      <c r="D62" s="110">
        <f>IF($B$59&lt;B62,0,IF($B$59&lt;B63,$A$2*C62,0))</f>
        <v>0</v>
      </c>
      <c r="E62" s="89"/>
      <c r="F62" s="100"/>
      <c r="G62" s="91"/>
      <c r="H62" s="91"/>
      <c r="I62" s="74"/>
      <c r="J62" s="89"/>
      <c r="K62" s="89"/>
      <c r="L62" s="89"/>
      <c r="M62" s="98"/>
      <c r="N62" s="89"/>
      <c r="O62" s="100"/>
    </row>
    <row r="63" spans="1:15" x14ac:dyDescent="0.15">
      <c r="A63" s="88" t="s">
        <v>79</v>
      </c>
      <c r="B63" s="89">
        <v>1750</v>
      </c>
      <c r="C63" s="97">
        <v>0.04</v>
      </c>
      <c r="D63" s="110">
        <f>IF($B$59&lt;B63,0,$A$2*C63)</f>
        <v>0</v>
      </c>
      <c r="E63" s="89"/>
      <c r="F63" s="100"/>
      <c r="G63" s="91"/>
      <c r="H63" s="91"/>
      <c r="I63" s="74"/>
      <c r="J63" s="89"/>
      <c r="K63" s="89"/>
      <c r="L63" s="89"/>
      <c r="M63" s="98"/>
      <c r="N63" s="89"/>
      <c r="O63" s="100"/>
    </row>
    <row r="64" spans="1:15" x14ac:dyDescent="0.15">
      <c r="A64" s="88"/>
      <c r="B64" s="89"/>
      <c r="C64" s="89"/>
      <c r="D64" s="98"/>
      <c r="E64" s="89"/>
      <c r="F64" s="100"/>
      <c r="G64" s="91"/>
      <c r="H64" s="91"/>
      <c r="I64" s="74"/>
      <c r="J64" s="89"/>
      <c r="K64" s="89"/>
      <c r="L64" s="89"/>
      <c r="M64" s="98"/>
      <c r="N64" s="89"/>
      <c r="O64" s="100"/>
    </row>
    <row r="65" spans="1:20" ht="15" x14ac:dyDescent="0.15">
      <c r="A65" s="84" t="s">
        <v>98</v>
      </c>
      <c r="B65" s="89"/>
      <c r="C65" s="89"/>
      <c r="D65" s="112">
        <f ca="1">(1/(1+B66))^(B68-B67)</f>
        <v>0.62490656725540283</v>
      </c>
      <c r="E65" s="89"/>
      <c r="F65" s="100"/>
      <c r="G65" s="91"/>
      <c r="H65" s="91"/>
      <c r="I65" s="74"/>
      <c r="J65" s="89"/>
      <c r="K65" s="89"/>
      <c r="L65" s="89"/>
      <c r="M65" s="98"/>
      <c r="N65" s="89"/>
      <c r="O65" s="100"/>
    </row>
    <row r="66" spans="1:20" x14ac:dyDescent="0.15">
      <c r="A66" s="88" t="s">
        <v>99</v>
      </c>
      <c r="B66" s="113">
        <f>'1'!E15</f>
        <v>0.01</v>
      </c>
      <c r="C66" s="89"/>
      <c r="D66" s="98"/>
      <c r="E66" s="89"/>
      <c r="F66" s="100"/>
      <c r="G66" s="91"/>
      <c r="H66" s="91"/>
      <c r="I66" s="74"/>
      <c r="J66" s="89"/>
      <c r="K66" s="89"/>
      <c r="L66" s="89"/>
      <c r="M66" s="98"/>
      <c r="N66" s="89"/>
      <c r="O66" s="100"/>
    </row>
    <row r="67" spans="1:20" x14ac:dyDescent="0.15">
      <c r="A67" s="88" t="s">
        <v>100</v>
      </c>
      <c r="B67" s="148">
        <f ca="1">ROUNDDOWN(D67,0)</f>
        <v>20</v>
      </c>
      <c r="C67" s="141">
        <f ca="1">TODAY()</f>
        <v>43900</v>
      </c>
      <c r="D67" s="147">
        <f ca="1">YEARFRAC(A4,C67)</f>
        <v>20.191666666666666</v>
      </c>
      <c r="E67" s="89"/>
      <c r="F67" s="100"/>
      <c r="G67" s="91"/>
      <c r="H67" s="91"/>
      <c r="I67" s="74"/>
      <c r="J67" s="89"/>
      <c r="K67" s="89"/>
      <c r="L67" s="89"/>
      <c r="M67" s="98"/>
      <c r="N67" s="89"/>
      <c r="O67" s="100"/>
    </row>
    <row r="68" spans="1:20" x14ac:dyDescent="0.15">
      <c r="A68" s="88" t="s">
        <v>101</v>
      </c>
      <c r="B68" s="131">
        <f>H1</f>
        <v>67.25</v>
      </c>
      <c r="C68" s="89"/>
      <c r="D68" s="98"/>
      <c r="E68" s="89"/>
      <c r="F68" s="100"/>
      <c r="G68" s="91"/>
      <c r="H68" s="91"/>
      <c r="I68" s="74"/>
      <c r="J68" s="89"/>
      <c r="K68" s="89"/>
      <c r="L68" s="89"/>
      <c r="M68" s="98"/>
      <c r="N68" s="89"/>
      <c r="O68" s="100"/>
    </row>
    <row r="69" spans="1:20" x14ac:dyDescent="0.15">
      <c r="A69" s="88"/>
      <c r="B69" s="89"/>
      <c r="C69" s="89"/>
      <c r="D69" s="98"/>
      <c r="E69" s="89"/>
      <c r="F69" s="100"/>
      <c r="G69" s="91"/>
      <c r="H69" s="91"/>
      <c r="I69" s="74"/>
      <c r="J69" s="89"/>
      <c r="K69" s="89"/>
      <c r="L69" s="89"/>
      <c r="M69" s="98"/>
      <c r="N69" s="89"/>
      <c r="O69" s="100"/>
    </row>
    <row r="70" spans="1:20" ht="15" x14ac:dyDescent="0.15">
      <c r="A70" s="115" t="s">
        <v>102</v>
      </c>
      <c r="B70" s="89"/>
      <c r="C70" s="89"/>
      <c r="D70" s="89"/>
      <c r="E70" s="89"/>
      <c r="F70" s="89"/>
      <c r="G70" s="116"/>
      <c r="H70" s="116"/>
      <c r="I70" s="74"/>
      <c r="J70" s="89"/>
      <c r="K70" s="89"/>
      <c r="L70" s="89"/>
      <c r="M70" s="89"/>
      <c r="N70" s="89"/>
      <c r="O70" s="89"/>
    </row>
    <row r="71" spans="1:20" x14ac:dyDescent="0.15">
      <c r="A71" s="82"/>
      <c r="B71" s="74"/>
      <c r="C71" s="74"/>
      <c r="D71" s="74"/>
      <c r="E71" s="74"/>
      <c r="F71" s="77"/>
      <c r="G71" s="77"/>
      <c r="H71" s="74"/>
      <c r="I71" s="74"/>
      <c r="J71" s="74"/>
      <c r="K71" s="74"/>
      <c r="L71" s="74"/>
      <c r="M71" s="74"/>
      <c r="N71" s="74"/>
      <c r="O71" s="74"/>
    </row>
    <row r="72" spans="1:20" x14ac:dyDescent="0.15">
      <c r="A72" s="211" t="s">
        <v>29</v>
      </c>
      <c r="B72" s="200"/>
      <c r="C72" s="200"/>
      <c r="D72" s="200"/>
      <c r="E72" s="201"/>
      <c r="F72" s="201"/>
      <c r="G72" s="183"/>
      <c r="H72" s="200"/>
      <c r="I72" s="200"/>
      <c r="J72" s="200"/>
      <c r="K72" s="200"/>
      <c r="L72" s="200"/>
      <c r="M72" s="200"/>
      <c r="N72" s="201"/>
      <c r="O72" s="201"/>
    </row>
    <row r="73" spans="1:20" x14ac:dyDescent="0.15">
      <c r="A73" s="211"/>
      <c r="B73" s="181">
        <v>2012</v>
      </c>
      <c r="C73" s="181">
        <v>2013</v>
      </c>
      <c r="D73" s="181">
        <v>2014</v>
      </c>
      <c r="E73" s="181">
        <v>2015</v>
      </c>
      <c r="F73" s="181">
        <v>2016</v>
      </c>
      <c r="G73" s="181">
        <v>2017</v>
      </c>
      <c r="H73" s="181">
        <v>2018</v>
      </c>
      <c r="I73" s="181">
        <v>2019</v>
      </c>
      <c r="J73" s="181">
        <v>2020</v>
      </c>
      <c r="K73" s="181">
        <v>2021</v>
      </c>
      <c r="L73" s="181">
        <v>2022</v>
      </c>
      <c r="M73" s="181">
        <v>2023</v>
      </c>
      <c r="N73" s="181">
        <v>2024</v>
      </c>
      <c r="O73" s="181">
        <v>2025</v>
      </c>
      <c r="P73"/>
      <c r="Q73"/>
      <c r="R73"/>
      <c r="S73"/>
      <c r="T73"/>
    </row>
    <row r="74" spans="1:20" x14ac:dyDescent="0.15">
      <c r="A74" s="212" t="s">
        <v>103</v>
      </c>
      <c r="B74" s="182">
        <v>18945</v>
      </c>
      <c r="C74" s="182">
        <v>19645</v>
      </c>
      <c r="D74" s="182">
        <v>19645</v>
      </c>
      <c r="E74" s="182">
        <v>19822</v>
      </c>
      <c r="F74" s="182">
        <v>19922</v>
      </c>
      <c r="G74" s="182">
        <v>19982</v>
      </c>
      <c r="H74" s="182">
        <v>20142</v>
      </c>
      <c r="I74" s="182">
        <v>20384</v>
      </c>
      <c r="J74" s="182">
        <v>20711</v>
      </c>
      <c r="K74" s="182">
        <v>20939</v>
      </c>
      <c r="L74" s="182"/>
      <c r="M74" s="182"/>
      <c r="N74" s="182"/>
      <c r="O74" s="182"/>
      <c r="P74"/>
      <c r="Q74"/>
      <c r="R74"/>
      <c r="S74"/>
      <c r="T74"/>
    </row>
    <row r="75" spans="1:20" x14ac:dyDescent="0.15">
      <c r="A75" s="212"/>
      <c r="B75" s="182">
        <f>IF($A$4&lt;1946-1-1,34055,33863)</f>
        <v>33863</v>
      </c>
      <c r="C75" s="182">
        <f>IF($A$4&lt;1946-1-1,33555,33363)</f>
        <v>33363</v>
      </c>
      <c r="D75" s="182">
        <f>IF($A$4&lt;1946-1-1,33555,33363)</f>
        <v>33363</v>
      </c>
      <c r="E75" s="182">
        <f>IF($A$4&lt;1946-1-1,33857,33589)</f>
        <v>33589</v>
      </c>
      <c r="F75" s="182">
        <f>IF($A$4&lt;1946-1-1,34027,33715)</f>
        <v>33715</v>
      </c>
      <c r="G75" s="182">
        <f>IF($A$4&lt;1946-1-1,34130,33791)</f>
        <v>33791</v>
      </c>
      <c r="H75" s="182">
        <f>IF($A$4&lt;1946-1-1,34404,33994)</f>
        <v>33994</v>
      </c>
      <c r="I75" s="182">
        <f>IF($A$4&lt;1946-1-1,34817,34300)</f>
        <v>34300</v>
      </c>
      <c r="J75" s="182">
        <f>IF($A$4&lt;1946-1-1,35375,34712)</f>
        <v>34712</v>
      </c>
      <c r="K75" s="182">
        <f>IF($A$4&lt;1946-1-1,35765,34999)</f>
        <v>34999</v>
      </c>
      <c r="L75" s="182"/>
      <c r="M75" s="182"/>
      <c r="N75" s="182"/>
      <c r="O75" s="182"/>
      <c r="P75"/>
      <c r="Q75"/>
      <c r="R75"/>
      <c r="S75"/>
      <c r="T75"/>
    </row>
    <row r="76" spans="1:20" x14ac:dyDescent="0.15">
      <c r="A76" s="212"/>
      <c r="B76" s="182">
        <v>56491</v>
      </c>
      <c r="C76" s="182">
        <v>55991</v>
      </c>
      <c r="D76" s="182">
        <v>56531</v>
      </c>
      <c r="E76" s="182">
        <v>57585</v>
      </c>
      <c r="F76" s="182">
        <v>66421</v>
      </c>
      <c r="G76" s="182">
        <v>67072</v>
      </c>
      <c r="H76" s="182">
        <v>68507</v>
      </c>
      <c r="I76" s="182">
        <v>68507</v>
      </c>
      <c r="J76" s="182">
        <v>68507</v>
      </c>
      <c r="K76" s="182">
        <v>68507</v>
      </c>
      <c r="L76" s="182"/>
      <c r="M76" s="182"/>
      <c r="N76" s="182"/>
      <c r="O76" s="182"/>
      <c r="P76"/>
      <c r="Q76"/>
      <c r="R76"/>
      <c r="S76"/>
      <c r="T76"/>
    </row>
    <row r="77" spans="1:20" x14ac:dyDescent="0.15">
      <c r="A77" s="212"/>
      <c r="B77" s="183"/>
      <c r="C77" s="183"/>
      <c r="D77" s="183"/>
      <c r="E77" s="183"/>
      <c r="F77" s="183"/>
      <c r="G77" s="183"/>
      <c r="H77" s="183"/>
      <c r="I77" s="183"/>
      <c r="J77" s="183"/>
      <c r="K77" s="183"/>
      <c r="L77" s="183"/>
      <c r="M77" s="183"/>
      <c r="N77" s="183"/>
      <c r="O77" s="183"/>
      <c r="P77"/>
      <c r="Q77"/>
      <c r="R77"/>
      <c r="S77"/>
      <c r="T77"/>
    </row>
    <row r="78" spans="1:20" x14ac:dyDescent="0.15">
      <c r="A78" s="212" t="s">
        <v>104</v>
      </c>
      <c r="B78" s="184">
        <v>17168</v>
      </c>
      <c r="C78" s="185">
        <v>17533</v>
      </c>
      <c r="D78" s="184">
        <v>17868</v>
      </c>
      <c r="E78" s="184">
        <v>18203</v>
      </c>
      <c r="F78" s="184">
        <v>18537</v>
      </c>
      <c r="G78" s="184">
        <v>18810</v>
      </c>
      <c r="H78" s="184">
        <v>19085</v>
      </c>
      <c r="I78" s="184">
        <v>19360</v>
      </c>
      <c r="J78" s="184">
        <v>19603</v>
      </c>
      <c r="K78" s="184">
        <v>19968</v>
      </c>
      <c r="L78" s="184">
        <v>20333</v>
      </c>
      <c r="M78" s="184">
        <v>20729</v>
      </c>
      <c r="N78" s="184">
        <v>20880</v>
      </c>
      <c r="O78" s="184">
        <v>21186</v>
      </c>
      <c r="P78"/>
      <c r="Q78"/>
      <c r="R78"/>
      <c r="S78"/>
      <c r="T78"/>
    </row>
    <row r="79" spans="1:20" x14ac:dyDescent="0.15">
      <c r="A79" s="212" t="s">
        <v>105</v>
      </c>
      <c r="B79" s="183" t="b">
        <f t="shared" ref="B79:O79" si="1">$A$4&lt;B78</f>
        <v>0</v>
      </c>
      <c r="C79" s="183" t="b">
        <f t="shared" si="1"/>
        <v>0</v>
      </c>
      <c r="D79" s="183" t="b">
        <f t="shared" si="1"/>
        <v>0</v>
      </c>
      <c r="E79" s="183" t="b">
        <f t="shared" si="1"/>
        <v>0</v>
      </c>
      <c r="F79" s="183" t="b">
        <f t="shared" si="1"/>
        <v>0</v>
      </c>
      <c r="G79" s="183" t="b">
        <f t="shared" si="1"/>
        <v>0</v>
      </c>
      <c r="H79" s="183" t="b">
        <f t="shared" si="1"/>
        <v>0</v>
      </c>
      <c r="I79" s="183" t="b">
        <f t="shared" si="1"/>
        <v>0</v>
      </c>
      <c r="J79" s="183" t="b">
        <f t="shared" si="1"/>
        <v>0</v>
      </c>
      <c r="K79" s="183" t="b">
        <f t="shared" si="1"/>
        <v>0</v>
      </c>
      <c r="L79" s="183" t="b">
        <f t="shared" si="1"/>
        <v>0</v>
      </c>
      <c r="M79" s="183" t="b">
        <f t="shared" si="1"/>
        <v>0</v>
      </c>
      <c r="N79" s="183" t="b">
        <f t="shared" si="1"/>
        <v>0</v>
      </c>
      <c r="O79" s="183" t="b">
        <f t="shared" si="1"/>
        <v>0</v>
      </c>
      <c r="P79"/>
      <c r="Q79"/>
      <c r="R79"/>
      <c r="S79"/>
      <c r="T79"/>
    </row>
    <row r="80" spans="1:20" x14ac:dyDescent="0.15">
      <c r="A80" s="212" t="s">
        <v>106</v>
      </c>
      <c r="B80" s="186">
        <f>IF(B79=TRUE,15.2%,33.1%)</f>
        <v>0.33100000000000002</v>
      </c>
      <c r="C80" s="186">
        <f>IF(C79=TRUE,19.1%,37%)</f>
        <v>0.37</v>
      </c>
      <c r="D80" s="186">
        <f>IF(D79=TRUE,18.35%,36.25%)</f>
        <v>0.36249999999999999</v>
      </c>
      <c r="E80" s="186">
        <f>IF(E79=TRUE,18.6%,36.5%)</f>
        <v>0.36499999999999999</v>
      </c>
      <c r="F80" s="186">
        <f>IF(F79=TRUE,18.65%,36.55%)</f>
        <v>0.36549999999999999</v>
      </c>
      <c r="G80" s="186">
        <f>IF(G79=TRUE,18.65%,36.55%)</f>
        <v>0.36549999999999999</v>
      </c>
      <c r="H80" s="186">
        <f>IF(H79=TRUE,18.65%,36.55%)</f>
        <v>0.36549999999999999</v>
      </c>
      <c r="I80" s="186">
        <f>IF(I79=TRUE,18.75%,36.65%)</f>
        <v>0.36649999999999999</v>
      </c>
      <c r="J80" s="186">
        <f>IF(J79=TRUE,19.45%,37.35%)</f>
        <v>0.3735</v>
      </c>
      <c r="K80" s="186">
        <f>IF(K79=TRUE,19.2%,37.1%)</f>
        <v>0.371</v>
      </c>
      <c r="L80" s="186"/>
      <c r="M80" s="186"/>
      <c r="N80" s="186"/>
      <c r="O80" s="186"/>
      <c r="P80"/>
      <c r="Q80"/>
      <c r="R80"/>
      <c r="S80"/>
      <c r="T80"/>
    </row>
    <row r="81" spans="1:20" x14ac:dyDescent="0.15">
      <c r="A81" s="212" t="s">
        <v>107</v>
      </c>
      <c r="B81" s="186">
        <f>IF(B79=TRUE,24.05%,41.95%)</f>
        <v>0.41950000000000004</v>
      </c>
      <c r="C81" s="186">
        <f>IF(C79=TRUE,24.1%,42%)</f>
        <v>0.42</v>
      </c>
      <c r="D81" s="186">
        <f>IF(D79=TRUE,24.1%,42%)</f>
        <v>0.42</v>
      </c>
      <c r="E81" s="186">
        <f>IF(E79=TRUE,24.1%,42%)</f>
        <v>0.42</v>
      </c>
      <c r="F81" s="186">
        <f>IF(F79=TRUE,22.5%,40.4%)</f>
        <v>0.40399999999999997</v>
      </c>
      <c r="G81" s="186">
        <f>IF(G79=TRUE,22.9%,40.8%)</f>
        <v>0.40799999999999997</v>
      </c>
      <c r="H81" s="186">
        <f>IF(H79=TRUE,22.95%,40.85%)</f>
        <v>0.40850000000000003</v>
      </c>
      <c r="I81" s="186">
        <f>IF(I79=TRUE,20.2%,38.1%)</f>
        <v>0.38100000000000001</v>
      </c>
      <c r="J81" s="186">
        <f>IF(J79=TRUE,19.45%,37.35%)</f>
        <v>0.3735</v>
      </c>
      <c r="K81" s="186">
        <f>IF(K79=TRUE,19.2%,37.1%)</f>
        <v>0.371</v>
      </c>
      <c r="L81" s="186"/>
      <c r="M81" s="186"/>
      <c r="N81" s="186"/>
      <c r="O81" s="186"/>
      <c r="P81"/>
      <c r="Q81"/>
      <c r="R81"/>
      <c r="S81"/>
      <c r="T81"/>
    </row>
    <row r="82" spans="1:20" x14ac:dyDescent="0.15">
      <c r="A82" s="212" t="s">
        <v>108</v>
      </c>
      <c r="B82" s="186">
        <v>0.42</v>
      </c>
      <c r="C82" s="186">
        <v>0.42</v>
      </c>
      <c r="D82" s="186">
        <v>0.42</v>
      </c>
      <c r="E82" s="186">
        <v>0.42</v>
      </c>
      <c r="F82" s="186">
        <v>0.40400000000000003</v>
      </c>
      <c r="G82" s="186">
        <v>0.40799999999999997</v>
      </c>
      <c r="H82" s="186">
        <v>0.40849999999999997</v>
      </c>
      <c r="I82" s="186">
        <v>0.38100000000000001</v>
      </c>
      <c r="J82" s="186">
        <v>0.3735</v>
      </c>
      <c r="K82" s="186">
        <v>0.371</v>
      </c>
      <c r="L82" s="186"/>
      <c r="M82" s="186"/>
      <c r="N82" s="186"/>
      <c r="O82" s="186"/>
      <c r="P82"/>
      <c r="Q82"/>
      <c r="R82"/>
      <c r="S82"/>
      <c r="T82"/>
    </row>
    <row r="83" spans="1:20" x14ac:dyDescent="0.15">
      <c r="A83" s="212" t="s">
        <v>109</v>
      </c>
      <c r="B83" s="186">
        <v>0.52</v>
      </c>
      <c r="C83" s="186">
        <v>0.52</v>
      </c>
      <c r="D83" s="186">
        <v>0.52</v>
      </c>
      <c r="E83" s="186">
        <v>0.52</v>
      </c>
      <c r="F83" s="186">
        <v>0.52</v>
      </c>
      <c r="G83" s="186">
        <v>0.52</v>
      </c>
      <c r="H83" s="186">
        <v>0.51949999999999996</v>
      </c>
      <c r="I83" s="186">
        <v>0.51749999999999996</v>
      </c>
      <c r="J83" s="186">
        <v>0.495</v>
      </c>
      <c r="K83" s="186">
        <v>0.495</v>
      </c>
      <c r="L83" s="186"/>
      <c r="M83" s="186"/>
      <c r="N83" s="187"/>
      <c r="O83" s="187"/>
      <c r="P83"/>
      <c r="Q83"/>
      <c r="R83"/>
      <c r="S83"/>
      <c r="T83"/>
    </row>
    <row r="84" spans="1:20" x14ac:dyDescent="0.15">
      <c r="A84" s="212"/>
      <c r="B84" s="183"/>
      <c r="C84" s="183"/>
      <c r="D84" s="183"/>
      <c r="E84" s="183"/>
      <c r="F84" s="183"/>
      <c r="G84" s="183"/>
      <c r="H84" s="183"/>
      <c r="I84" s="183"/>
      <c r="J84" s="183"/>
      <c r="K84" s="183"/>
      <c r="L84" s="183"/>
      <c r="M84" s="183"/>
      <c r="N84" s="183"/>
      <c r="O84" s="183"/>
      <c r="P84"/>
      <c r="Q84"/>
      <c r="R84"/>
      <c r="S84"/>
      <c r="T84"/>
    </row>
    <row r="85" spans="1:20" x14ac:dyDescent="0.15">
      <c r="A85" s="212" t="s">
        <v>80</v>
      </c>
      <c r="B85" s="188">
        <v>0.25</v>
      </c>
      <c r="C85" s="188">
        <v>0.25</v>
      </c>
      <c r="D85" s="188">
        <v>0.22</v>
      </c>
      <c r="E85" s="188">
        <v>0.25</v>
      </c>
      <c r="F85" s="188">
        <v>0.25</v>
      </c>
      <c r="G85" s="188">
        <v>0.25</v>
      </c>
      <c r="H85" s="188">
        <v>0.25</v>
      </c>
      <c r="I85" s="188">
        <v>0.25</v>
      </c>
      <c r="J85" s="186">
        <v>0.26250000000000001</v>
      </c>
      <c r="K85" s="186">
        <v>0.26900000000000002</v>
      </c>
      <c r="L85" s="183"/>
      <c r="M85" s="183"/>
      <c r="N85" s="183"/>
      <c r="O85" s="183"/>
      <c r="P85"/>
      <c r="Q85"/>
      <c r="R85"/>
      <c r="S85"/>
      <c r="T85"/>
    </row>
    <row r="86" spans="1:20" x14ac:dyDescent="0.15">
      <c r="A86" s="212"/>
      <c r="B86" s="183"/>
      <c r="C86" s="183"/>
      <c r="D86" s="183"/>
      <c r="E86" s="183"/>
      <c r="F86" s="183"/>
      <c r="G86" s="183"/>
      <c r="H86" s="183"/>
      <c r="I86" s="183"/>
      <c r="J86" s="183"/>
      <c r="K86" s="183"/>
      <c r="L86" s="183"/>
      <c r="M86" s="183"/>
      <c r="N86" s="183"/>
      <c r="O86" s="183"/>
      <c r="P86"/>
      <c r="Q86"/>
      <c r="R86"/>
      <c r="S86"/>
      <c r="T86"/>
    </row>
    <row r="87" spans="1:20" x14ac:dyDescent="0.15">
      <c r="A87" s="211" t="s">
        <v>10</v>
      </c>
      <c r="B87" s="181">
        <v>2012</v>
      </c>
      <c r="C87" s="181">
        <v>2013</v>
      </c>
      <c r="D87" s="181">
        <v>2014</v>
      </c>
      <c r="E87" s="181">
        <v>2015</v>
      </c>
      <c r="F87" s="181">
        <v>2016</v>
      </c>
      <c r="G87" s="181">
        <v>2017</v>
      </c>
      <c r="H87" s="181">
        <v>2018</v>
      </c>
      <c r="I87" s="181">
        <v>2019</v>
      </c>
      <c r="J87" s="181">
        <v>2020</v>
      </c>
      <c r="K87" s="181">
        <v>2021</v>
      </c>
      <c r="L87" s="181">
        <v>2022</v>
      </c>
      <c r="M87" s="181">
        <v>2023</v>
      </c>
      <c r="N87" s="181">
        <v>2024</v>
      </c>
      <c r="O87" s="181">
        <v>2025</v>
      </c>
      <c r="P87"/>
      <c r="Q87"/>
      <c r="R87"/>
      <c r="S87"/>
      <c r="T87"/>
    </row>
    <row r="88" spans="1:20" x14ac:dyDescent="0.15">
      <c r="A88" s="212" t="s">
        <v>110</v>
      </c>
      <c r="B88" s="183">
        <v>200000</v>
      </c>
      <c r="C88" s="183">
        <v>200000</v>
      </c>
      <c r="D88" s="183">
        <v>200000</v>
      </c>
      <c r="E88" s="183">
        <v>200000</v>
      </c>
      <c r="F88" s="183">
        <v>200000</v>
      </c>
      <c r="G88" s="183">
        <v>200000</v>
      </c>
      <c r="H88" s="183">
        <v>200000</v>
      </c>
      <c r="I88" s="183">
        <v>200000</v>
      </c>
      <c r="J88" s="183">
        <v>200000</v>
      </c>
      <c r="K88" s="183">
        <v>200000</v>
      </c>
      <c r="L88" s="183"/>
      <c r="M88" s="183"/>
      <c r="N88" s="183"/>
      <c r="O88" s="183"/>
      <c r="P88"/>
      <c r="Q88"/>
      <c r="R88"/>
      <c r="S88"/>
      <c r="T88"/>
    </row>
    <row r="89" spans="1:20" x14ac:dyDescent="0.15">
      <c r="A89" s="212" t="s">
        <v>111</v>
      </c>
      <c r="B89" s="188">
        <v>0.2</v>
      </c>
      <c r="C89" s="188">
        <v>0.2</v>
      </c>
      <c r="D89" s="188">
        <v>0.2</v>
      </c>
      <c r="E89" s="188">
        <v>0.2</v>
      </c>
      <c r="F89" s="188">
        <v>0.2</v>
      </c>
      <c r="G89" s="188">
        <v>0.2</v>
      </c>
      <c r="H89" s="188">
        <v>0.2</v>
      </c>
      <c r="I89" s="189">
        <v>0.19</v>
      </c>
      <c r="J89" s="189">
        <v>0.16500000000000001</v>
      </c>
      <c r="K89" s="189">
        <v>0.15</v>
      </c>
      <c r="L89" s="188"/>
      <c r="M89" s="188"/>
      <c r="N89" s="188"/>
      <c r="O89" s="188"/>
      <c r="P89"/>
      <c r="Q89"/>
      <c r="R89"/>
      <c r="S89"/>
      <c r="T89"/>
    </row>
    <row r="90" spans="1:20" x14ac:dyDescent="0.15">
      <c r="A90" s="212" t="s">
        <v>112</v>
      </c>
      <c r="B90" s="188">
        <v>0.25</v>
      </c>
      <c r="C90" s="188">
        <v>0.25</v>
      </c>
      <c r="D90" s="188">
        <v>0.25</v>
      </c>
      <c r="E90" s="188">
        <v>0.25</v>
      </c>
      <c r="F90" s="188">
        <v>0.25</v>
      </c>
      <c r="G90" s="188">
        <v>0.25</v>
      </c>
      <c r="H90" s="188">
        <v>0.25</v>
      </c>
      <c r="I90" s="189">
        <v>0.25</v>
      </c>
      <c r="J90" s="189">
        <v>0.25</v>
      </c>
      <c r="K90" s="189">
        <v>0.217</v>
      </c>
      <c r="L90" s="188"/>
      <c r="M90" s="188"/>
      <c r="N90" s="188"/>
      <c r="O90" s="188"/>
      <c r="P90"/>
      <c r="Q90"/>
      <c r="R90"/>
      <c r="S90"/>
      <c r="T90"/>
    </row>
    <row r="91" spans="1:20" x14ac:dyDescent="0.15">
      <c r="A91" s="212"/>
      <c r="B91" s="183"/>
      <c r="C91" s="183"/>
      <c r="D91" s="183"/>
      <c r="E91" s="183"/>
      <c r="F91" s="183"/>
      <c r="G91" s="183"/>
      <c r="H91" s="183"/>
      <c r="I91" s="183"/>
      <c r="J91" s="183"/>
      <c r="K91" s="183"/>
      <c r="L91" s="183"/>
      <c r="M91" s="183"/>
      <c r="N91" s="183"/>
      <c r="O91" s="183"/>
      <c r="P91"/>
      <c r="Q91"/>
      <c r="R91"/>
      <c r="S91"/>
      <c r="T91"/>
    </row>
    <row r="92" spans="1:20" x14ac:dyDescent="0.15">
      <c r="A92" s="211" t="s">
        <v>113</v>
      </c>
      <c r="B92" s="190">
        <f>IF(B79=TRUE,934,2001)</f>
        <v>2001</v>
      </c>
      <c r="C92" s="190">
        <f>IF(C79=TRUE,1034,2033)</f>
        <v>2033</v>
      </c>
      <c r="D92" s="190">
        <f>IF(D79=TRUE,1065,2103)</f>
        <v>2103</v>
      </c>
      <c r="E92" s="190">
        <f>IF(E79=TRUE,1123,2203)</f>
        <v>2203</v>
      </c>
      <c r="F92" s="190">
        <f>IF(F79=TRUE,1145,2242)</f>
        <v>2242</v>
      </c>
      <c r="G92" s="190">
        <f>IF(G79=TRUE,1151,2254)</f>
        <v>2254</v>
      </c>
      <c r="H92" s="190">
        <f>IF(H79=TRUE,1157,2265)</f>
        <v>2265</v>
      </c>
      <c r="I92" s="190">
        <f>IF(I79=TRUE,1268,2477)</f>
        <v>2477</v>
      </c>
      <c r="J92" s="190">
        <f>IF(J79=TRUE,1413,2711)</f>
        <v>2711</v>
      </c>
      <c r="K92" s="190">
        <f>IF(K79=TRUE,1453,2801)</f>
        <v>2801</v>
      </c>
      <c r="L92" s="190"/>
      <c r="M92" s="190"/>
      <c r="N92" s="191"/>
      <c r="O92" s="191"/>
      <c r="P92"/>
      <c r="Q92"/>
      <c r="R92"/>
      <c r="S92"/>
      <c r="T92"/>
    </row>
    <row r="93" spans="1:20" x14ac:dyDescent="0.15">
      <c r="A93" s="212" t="s">
        <v>114</v>
      </c>
      <c r="B93" s="192">
        <v>0</v>
      </c>
      <c r="C93" s="192">
        <v>0</v>
      </c>
      <c r="D93" s="193">
        <f>IF(D79=TRUE,2%,2%)</f>
        <v>0.02</v>
      </c>
      <c r="E93" s="193">
        <f>IF(E79=TRUE,1.183%,2.32%)</f>
        <v>2.3199999999999998E-2</v>
      </c>
      <c r="F93" s="193">
        <f>IF(F79=TRUE,2.46%,4.822%)</f>
        <v>4.8219999999999999E-2</v>
      </c>
      <c r="G93" s="193">
        <f>IF(G79=TRUE,2.443%,4.787%)</f>
        <v>4.7869999999999996E-2</v>
      </c>
      <c r="H93" s="193">
        <f>IF(H79=TRUE,2.389%,4.683%)</f>
        <v>4.6829999999999997E-2</v>
      </c>
      <c r="I93" s="193">
        <f>IF(I79=TRUE,2.633%,5.147%)</f>
        <v>5.1470000000000002E-2</v>
      </c>
      <c r="J93" s="193">
        <f>IF(J79=TRUE,2.954%,5.672%)</f>
        <v>5.672E-2</v>
      </c>
      <c r="K93" s="193">
        <f>IF(K79=TRUE,3.054%,5.888%)</f>
        <v>5.8880000000000002E-2</v>
      </c>
      <c r="L93" s="186"/>
      <c r="M93" s="186"/>
      <c r="N93" s="186"/>
      <c r="O93" s="186"/>
      <c r="P93"/>
      <c r="Q93"/>
      <c r="R93"/>
      <c r="S93"/>
      <c r="T93"/>
    </row>
    <row r="94" spans="1:20" x14ac:dyDescent="0.15">
      <c r="A94" s="212" t="s">
        <v>115</v>
      </c>
      <c r="B94" s="194">
        <f>B92</f>
        <v>2001</v>
      </c>
      <c r="C94" s="194">
        <f>C92</f>
        <v>2033</v>
      </c>
      <c r="D94" s="195">
        <f>IF(D79=TRUE,693,1366)</f>
        <v>1366</v>
      </c>
      <c r="E94" s="195">
        <f>IF(E79=TRUE,685,1342)</f>
        <v>1342</v>
      </c>
      <c r="F94" s="195">
        <v>0</v>
      </c>
      <c r="G94" s="195">
        <v>0</v>
      </c>
      <c r="H94" s="195">
        <v>0</v>
      </c>
      <c r="I94" s="195">
        <v>0</v>
      </c>
      <c r="J94" s="195">
        <v>0</v>
      </c>
      <c r="K94" s="195">
        <v>0</v>
      </c>
      <c r="L94" s="194"/>
      <c r="M94" s="194"/>
      <c r="N94" s="194"/>
      <c r="O94" s="194"/>
      <c r="P94"/>
      <c r="Q94"/>
      <c r="R94"/>
      <c r="S94"/>
      <c r="T94"/>
    </row>
    <row r="95" spans="1:20" x14ac:dyDescent="0.15">
      <c r="A95" s="212"/>
      <c r="B95" s="186"/>
      <c r="C95" s="183"/>
      <c r="D95" s="196"/>
      <c r="E95" s="197"/>
      <c r="F95" s="197"/>
      <c r="G95" s="183"/>
      <c r="H95" s="183"/>
      <c r="I95" s="183"/>
      <c r="J95" s="183"/>
      <c r="K95" s="186"/>
      <c r="L95" s="183"/>
      <c r="M95" s="196"/>
      <c r="N95" s="197"/>
      <c r="O95" s="197"/>
      <c r="P95"/>
      <c r="Q95"/>
      <c r="R95"/>
      <c r="S95"/>
      <c r="T95"/>
    </row>
    <row r="96" spans="1:20" x14ac:dyDescent="0.15">
      <c r="A96" s="211" t="s">
        <v>64</v>
      </c>
      <c r="B96" s="181">
        <v>2012</v>
      </c>
      <c r="C96" s="181">
        <v>2013</v>
      </c>
      <c r="D96" s="181">
        <v>2014</v>
      </c>
      <c r="E96" s="181">
        <v>2015</v>
      </c>
      <c r="F96" s="181">
        <v>2016</v>
      </c>
      <c r="G96" s="181">
        <v>2017</v>
      </c>
      <c r="H96" s="181">
        <v>2018</v>
      </c>
      <c r="I96" s="181">
        <v>2019</v>
      </c>
      <c r="J96" s="181">
        <v>2020</v>
      </c>
      <c r="K96" s="181">
        <v>2021</v>
      </c>
      <c r="L96" s="181">
        <v>2022</v>
      </c>
      <c r="M96" s="181">
        <v>2023</v>
      </c>
      <c r="N96" s="181">
        <v>2024</v>
      </c>
      <c r="O96" s="181">
        <v>2025</v>
      </c>
      <c r="P96"/>
      <c r="Q96"/>
      <c r="R96"/>
      <c r="S96"/>
      <c r="T96"/>
    </row>
    <row r="97" spans="1:20" x14ac:dyDescent="0.15">
      <c r="A97" s="212" t="s">
        <v>76</v>
      </c>
      <c r="B97" s="194">
        <v>9295</v>
      </c>
      <c r="C97" s="194">
        <v>8816</v>
      </c>
      <c r="D97" s="194">
        <v>8913</v>
      </c>
      <c r="E97" s="198">
        <v>9010</v>
      </c>
      <c r="F97" s="198">
        <v>9147</v>
      </c>
      <c r="G97" s="194">
        <v>9309</v>
      </c>
      <c r="H97" s="194">
        <v>9468</v>
      </c>
      <c r="I97" s="194">
        <v>9694</v>
      </c>
      <c r="J97" s="194">
        <v>9921</v>
      </c>
      <c r="K97" s="199">
        <v>9922</v>
      </c>
      <c r="L97" s="194"/>
      <c r="M97" s="194"/>
      <c r="N97" s="198"/>
      <c r="O97" s="198"/>
      <c r="P97"/>
      <c r="Q97"/>
      <c r="R97"/>
      <c r="S97"/>
      <c r="T97"/>
    </row>
    <row r="98" spans="1:20" x14ac:dyDescent="0.15">
      <c r="A98" s="212" t="s">
        <v>77</v>
      </c>
      <c r="B98" s="194">
        <v>21059</v>
      </c>
      <c r="C98" s="194">
        <v>18502</v>
      </c>
      <c r="D98" s="194">
        <v>19248</v>
      </c>
      <c r="E98" s="194">
        <v>19463</v>
      </c>
      <c r="F98" s="194">
        <v>19758</v>
      </c>
      <c r="G98" s="194">
        <v>20108</v>
      </c>
      <c r="H98" s="194">
        <v>20450</v>
      </c>
      <c r="I98" s="194">
        <v>20940</v>
      </c>
      <c r="J98" s="194">
        <v>21430</v>
      </c>
      <c r="K98" s="199">
        <f>K74</f>
        <v>20939</v>
      </c>
      <c r="L98" s="194">
        <f t="shared" ref="L98:O98" si="2">L74</f>
        <v>0</v>
      </c>
      <c r="M98" s="194">
        <f t="shared" si="2"/>
        <v>0</v>
      </c>
      <c r="N98" s="194">
        <f t="shared" si="2"/>
        <v>0</v>
      </c>
      <c r="O98" s="194">
        <f t="shared" si="2"/>
        <v>0</v>
      </c>
      <c r="P98"/>
      <c r="Q98"/>
      <c r="R98"/>
      <c r="S98"/>
      <c r="T98"/>
    </row>
    <row r="99" spans="1:20" x14ac:dyDescent="0.15">
      <c r="A99" s="212" t="s">
        <v>78</v>
      </c>
      <c r="B99" s="190">
        <v>45181</v>
      </c>
      <c r="C99" s="190">
        <v>40248</v>
      </c>
      <c r="D99" s="190">
        <v>40721</v>
      </c>
      <c r="E99" s="191">
        <v>49770</v>
      </c>
      <c r="F99" s="191">
        <v>34015</v>
      </c>
      <c r="G99" s="194">
        <v>32444</v>
      </c>
      <c r="H99" s="190">
        <v>33112</v>
      </c>
      <c r="I99" s="190">
        <v>34060</v>
      </c>
      <c r="J99" s="190">
        <v>34954</v>
      </c>
      <c r="K99" s="213">
        <v>34955</v>
      </c>
      <c r="L99" s="190"/>
      <c r="M99" s="190"/>
      <c r="N99" s="191"/>
      <c r="O99" s="191"/>
      <c r="P99"/>
      <c r="Q99"/>
      <c r="R99"/>
      <c r="S99"/>
      <c r="T99"/>
    </row>
    <row r="100" spans="1:20" x14ac:dyDescent="0.15">
      <c r="A100" s="212" t="s">
        <v>79</v>
      </c>
      <c r="B100" s="194">
        <v>514.17999999999995</v>
      </c>
      <c r="C100" s="194">
        <v>69573</v>
      </c>
      <c r="D100" s="194">
        <v>83971</v>
      </c>
      <c r="E100" s="194">
        <v>100670</v>
      </c>
      <c r="F100" s="194">
        <v>111590</v>
      </c>
      <c r="G100" s="194">
        <v>121972</v>
      </c>
      <c r="H100" s="194">
        <v>123362</v>
      </c>
      <c r="I100" s="194">
        <v>90710</v>
      </c>
      <c r="J100" s="194">
        <f>(J107/J105)+J99</f>
        <v>98604</v>
      </c>
      <c r="K100" s="199">
        <f>(K107/K105)+K99</f>
        <v>104005</v>
      </c>
      <c r="L100" s="194"/>
      <c r="M100" s="194"/>
      <c r="N100" s="194"/>
      <c r="O100" s="194"/>
      <c r="P100"/>
      <c r="Q100"/>
      <c r="R100"/>
      <c r="S100"/>
      <c r="T100"/>
    </row>
    <row r="101" spans="1:20" x14ac:dyDescent="0.15">
      <c r="A101" s="212"/>
      <c r="B101" s="183"/>
      <c r="C101" s="183"/>
      <c r="D101" s="186"/>
      <c r="E101" s="183"/>
      <c r="F101" s="196"/>
      <c r="G101" s="197"/>
      <c r="H101" s="197"/>
      <c r="I101" s="183"/>
      <c r="J101" s="183"/>
      <c r="K101" s="183"/>
      <c r="L101" s="183"/>
      <c r="M101" s="186"/>
      <c r="N101" s="183"/>
      <c r="O101" s="196"/>
      <c r="P101"/>
      <c r="Q101"/>
      <c r="R101"/>
      <c r="S101"/>
      <c r="T101"/>
    </row>
    <row r="102" spans="1:20" x14ac:dyDescent="0.15">
      <c r="A102" s="212" t="s">
        <v>106</v>
      </c>
      <c r="B102" s="183">
        <f>IF(B79=TRUE,0.796%,1.733%)</f>
        <v>1.7330000000000002E-2</v>
      </c>
      <c r="C102" s="183">
        <f>IF(C79=TRUE,0.943%,1.827%)</f>
        <v>1.8269999999999998E-2</v>
      </c>
      <c r="D102" s="183">
        <f>IF(D79=TRUE,0.915%,1.807%)</f>
        <v>1.8069999999999999E-2</v>
      </c>
      <c r="E102" s="183">
        <f>IF(E79=TRUE,0.922%,1.81%)</f>
        <v>1.8100000000000002E-2</v>
      </c>
      <c r="F102" s="183">
        <f>IF(F79=TRUE,0.915%,1.793%)</f>
        <v>1.7929999999999998E-2</v>
      </c>
      <c r="G102" s="183">
        <f>IF(G79=TRUE,0.904%,1.772%)</f>
        <v>1.772E-2</v>
      </c>
      <c r="H102" s="183">
        <f>IF(H79=TRUE,0.901%,1.764%)</f>
        <v>1.7639999999999999E-2</v>
      </c>
      <c r="I102" s="183">
        <f>IF(I79=TRUE,0.898%,1.754%)</f>
        <v>1.754E-2</v>
      </c>
      <c r="J102" s="183">
        <f>IF(J79=TRUE,1.464%,2.812%)</f>
        <v>2.8119999999999999E-2</v>
      </c>
      <c r="K102" s="96">
        <f>IF(K79=TRUE,1.464%,2.812%)</f>
        <v>2.8119999999999999E-2</v>
      </c>
      <c r="L102" s="183"/>
      <c r="M102" s="186"/>
      <c r="N102" s="183"/>
      <c r="O102" s="196"/>
      <c r="P102"/>
      <c r="Q102"/>
      <c r="R102"/>
      <c r="S102"/>
      <c r="T102"/>
    </row>
    <row r="103" spans="1:20" x14ac:dyDescent="0.15">
      <c r="A103" s="212" t="s">
        <v>107</v>
      </c>
      <c r="B103" s="183">
        <f>IF(B79=TRUE,5.657%,12.32%)</f>
        <v>0.1232</v>
      </c>
      <c r="C103" s="183">
        <f>IF(C79=TRUE,8.319%,16.115%)</f>
        <v>0.16114999999999999</v>
      </c>
      <c r="D103" s="183">
        <f>IF(D79=TRUE,9.479%,18.724%)</f>
        <v>0.18723999999999999</v>
      </c>
      <c r="E103" s="183">
        <f>IF(E79=TRUE,10.028%,19.679%)</f>
        <v>0.19678999999999999</v>
      </c>
      <c r="F103" s="183">
        <f>IF(F79=TRUE,14.133%,27.698%)</f>
        <v>0.27698</v>
      </c>
      <c r="G103" s="183">
        <f>IF(G79=TRUE,14.449%,28.317%)</f>
        <v>0.28316999999999998</v>
      </c>
      <c r="H103" s="183">
        <f>IF(H79=TRUE,14.32%,28.064%)</f>
        <v>0.28064</v>
      </c>
      <c r="I103" s="183">
        <f>IF(I79=TRUE,14.689%,28.712%)</f>
        <v>0.28711999999999999</v>
      </c>
      <c r="J103" s="183">
        <f>IF(J79=TRUE,15.004%,28.812%)</f>
        <v>0.28811999999999999</v>
      </c>
      <c r="K103" s="96">
        <f>IF(K79=TRUE,15.004%,28.812%)</f>
        <v>0.28811999999999999</v>
      </c>
      <c r="L103" s="183"/>
      <c r="M103" s="186"/>
      <c r="N103" s="183"/>
      <c r="O103" s="196"/>
      <c r="P103"/>
      <c r="Q103"/>
      <c r="R103"/>
      <c r="S103"/>
      <c r="T103"/>
    </row>
    <row r="104" spans="1:20" x14ac:dyDescent="0.15">
      <c r="A104" s="212" t="s">
        <v>108</v>
      </c>
      <c r="B104" s="183">
        <v>0</v>
      </c>
      <c r="C104" s="183">
        <v>0</v>
      </c>
      <c r="D104" s="183">
        <v>0</v>
      </c>
      <c r="E104" s="183">
        <v>0</v>
      </c>
      <c r="F104" s="183">
        <v>0</v>
      </c>
      <c r="G104" s="183">
        <v>0</v>
      </c>
      <c r="H104" s="183">
        <v>0</v>
      </c>
      <c r="I104" s="183">
        <v>0</v>
      </c>
      <c r="J104" s="183">
        <f>IF(J79=TRUE,0.862%,1.656%)</f>
        <v>1.6559999999999998E-2</v>
      </c>
      <c r="K104" s="96">
        <f>IF(K79=TRUE,0.862%,1.656%)</f>
        <v>1.6559999999999998E-2</v>
      </c>
      <c r="L104" s="183"/>
      <c r="M104" s="183"/>
      <c r="N104" s="183"/>
      <c r="O104" s="183"/>
      <c r="P104"/>
      <c r="Q104"/>
      <c r="R104"/>
      <c r="S104"/>
      <c r="T104"/>
    </row>
    <row r="105" spans="1:20" x14ac:dyDescent="0.15">
      <c r="A105" s="212" t="s">
        <v>109</v>
      </c>
      <c r="B105" s="183">
        <f>IF(B79=TRUE,0.574%,1.25%)</f>
        <v>1.2500000000000001E-2</v>
      </c>
      <c r="C105" s="183">
        <f>IF(C79=TRUE,2.064%,4%)</f>
        <v>0.04</v>
      </c>
      <c r="D105" s="183">
        <f>IF(D79=TRUE,2.025%,4%)</f>
        <v>0.04</v>
      </c>
      <c r="E105" s="183">
        <f>IF(E79=TRUE,2.038%,4%)</f>
        <v>0.04</v>
      </c>
      <c r="F105" s="183">
        <f>IF(F79=TRUE,2.041%,4%)</f>
        <v>0.04</v>
      </c>
      <c r="G105" s="183">
        <f>IF(G79=TRUE,1.837%,3.6%)</f>
        <v>3.6000000000000004E-2</v>
      </c>
      <c r="H105" s="183">
        <f>IF(H79=TRUE,1.837%,3.6%)</f>
        <v>3.6000000000000004E-2</v>
      </c>
      <c r="I105" s="183">
        <f>IF(I79=TRUE,3.069%,6%)</f>
        <v>0.06</v>
      </c>
      <c r="J105" s="183">
        <f>IF(J79=TRUE,3.124%,6%)</f>
        <v>0.06</v>
      </c>
      <c r="K105" s="96">
        <f>IF(K79=TRUE,3.124%,6%)</f>
        <v>0.06</v>
      </c>
      <c r="L105" s="183"/>
      <c r="M105" s="183"/>
      <c r="N105" s="183"/>
      <c r="O105" s="183"/>
      <c r="P105"/>
      <c r="Q105"/>
      <c r="R105"/>
      <c r="S105"/>
      <c r="T105"/>
    </row>
    <row r="106" spans="1:20" x14ac:dyDescent="0.15">
      <c r="A106" s="211"/>
      <c r="B106" s="200"/>
      <c r="C106" s="200"/>
      <c r="D106" s="200"/>
      <c r="E106" s="200"/>
      <c r="F106" s="200"/>
      <c r="G106" s="201"/>
      <c r="H106" s="201"/>
      <c r="I106" s="183"/>
      <c r="J106" s="200"/>
      <c r="K106" s="200"/>
      <c r="L106" s="200"/>
      <c r="M106" s="200"/>
      <c r="N106" s="200"/>
      <c r="O106" s="200"/>
      <c r="P106"/>
      <c r="Q106"/>
      <c r="R106"/>
      <c r="S106"/>
      <c r="T106"/>
    </row>
    <row r="107" spans="1:20" x14ac:dyDescent="0.15">
      <c r="A107" s="212" t="s">
        <v>116</v>
      </c>
      <c r="B107" s="183">
        <f>IF(B79=TRUE,740,1611)</f>
        <v>1611</v>
      </c>
      <c r="C107" s="183">
        <f>IF(C79=TRUE,890,1723)</f>
        <v>1723</v>
      </c>
      <c r="D107" s="183">
        <f>IF(D79=TRUE,1062,2097)</f>
        <v>2097</v>
      </c>
      <c r="E107" s="183">
        <f>IF(E79=TRUE,1132,2220)</f>
        <v>2220</v>
      </c>
      <c r="F107" s="183">
        <f>IF(F79=TRUE,1585,3103)</f>
        <v>3103</v>
      </c>
      <c r="G107" s="183">
        <f>IF(G79=TRUE,1645,3223)</f>
        <v>3223</v>
      </c>
      <c r="H107" s="183">
        <f>IF(H79=TRUE,1659,3249)</f>
        <v>3249</v>
      </c>
      <c r="I107" s="183">
        <f>IF(I79=TRUE,1745,3399)</f>
        <v>3399</v>
      </c>
      <c r="J107" s="183">
        <f>IF(J79=TRUE,1989,3819)</f>
        <v>3819</v>
      </c>
      <c r="K107" s="183">
        <f>IF(K79=TRUE,2147,4143)</f>
        <v>4143</v>
      </c>
      <c r="L107" s="183"/>
      <c r="M107" s="186"/>
      <c r="N107" s="183"/>
      <c r="O107" s="196"/>
      <c r="P107"/>
      <c r="Q107"/>
      <c r="R107"/>
      <c r="S107"/>
      <c r="T107"/>
    </row>
    <row r="108" spans="1:20" x14ac:dyDescent="0.15">
      <c r="A108" s="212" t="s">
        <v>117</v>
      </c>
      <c r="B108" s="183">
        <f>IF(B79=TRUE,704,740)</f>
        <v>740</v>
      </c>
      <c r="C108" s="183">
        <f>IF(C79=TRUE,284,550)</f>
        <v>550</v>
      </c>
      <c r="D108" s="183">
        <f>IF(D79=TRUE,186,367)</f>
        <v>367</v>
      </c>
      <c r="E108" s="183">
        <f>IF(E79=TRUE,94,184)</f>
        <v>184</v>
      </c>
      <c r="F108" s="183">
        <v>0</v>
      </c>
      <c r="G108" s="183">
        <v>0</v>
      </c>
      <c r="H108" s="183">
        <v>0</v>
      </c>
      <c r="I108" s="183">
        <v>0</v>
      </c>
      <c r="J108" s="183">
        <v>0</v>
      </c>
      <c r="K108" s="183">
        <v>0</v>
      </c>
      <c r="L108" s="183"/>
      <c r="M108" s="186"/>
      <c r="N108" s="183"/>
      <c r="O108" s="196"/>
      <c r="P108"/>
      <c r="Q108"/>
      <c r="R108"/>
      <c r="S108"/>
      <c r="T108"/>
    </row>
    <row r="109" spans="1:20" x14ac:dyDescent="0.15">
      <c r="A109" s="212"/>
      <c r="B109" s="183"/>
      <c r="C109" s="183"/>
      <c r="D109" s="186"/>
      <c r="E109" s="183"/>
      <c r="F109" s="196"/>
      <c r="G109" s="197"/>
      <c r="H109" s="197"/>
      <c r="I109" s="183"/>
      <c r="J109" s="183"/>
      <c r="K109" s="183"/>
      <c r="L109" s="183"/>
      <c r="M109" s="186"/>
      <c r="N109" s="183"/>
      <c r="O109" s="196"/>
      <c r="P109"/>
      <c r="Q109"/>
      <c r="R109"/>
      <c r="S109"/>
      <c r="T109"/>
    </row>
    <row r="110" spans="1:20" x14ac:dyDescent="0.15">
      <c r="A110" s="211" t="s">
        <v>87</v>
      </c>
      <c r="B110" s="119">
        <v>0</v>
      </c>
      <c r="C110" s="119">
        <v>0</v>
      </c>
      <c r="D110" s="119">
        <v>5.0000000000000001E-3</v>
      </c>
      <c r="E110" s="119">
        <v>0.01</v>
      </c>
      <c r="F110" s="119">
        <v>1.4999999999999999E-2</v>
      </c>
      <c r="G110" s="119">
        <v>0.02</v>
      </c>
      <c r="H110" s="90">
        <v>2.4500000000000001E-2</v>
      </c>
      <c r="I110" s="90">
        <v>2.75E-2</v>
      </c>
      <c r="J110" s="90">
        <v>3.5000000000000003E-2</v>
      </c>
      <c r="K110" s="177">
        <v>6.5000000000000002E-2</v>
      </c>
      <c r="L110" s="119">
        <v>4.4999999999999998E-2</v>
      </c>
      <c r="M110" s="119">
        <v>0.05</v>
      </c>
      <c r="N110" s="119">
        <v>5.5E-2</v>
      </c>
      <c r="O110" s="119">
        <v>0.06</v>
      </c>
      <c r="P110"/>
      <c r="Q110"/>
      <c r="R110"/>
      <c r="S110"/>
      <c r="T110"/>
    </row>
    <row r="111" spans="1:20" x14ac:dyDescent="0.15">
      <c r="A111" s="212"/>
      <c r="B111" s="119"/>
      <c r="C111" s="119"/>
      <c r="D111" s="119"/>
      <c r="E111" s="119"/>
      <c r="F111" s="119"/>
      <c r="G111" s="119"/>
      <c r="H111" s="90"/>
      <c r="I111" s="119">
        <v>0</v>
      </c>
      <c r="J111" s="90">
        <v>3.5000000000000003E-2</v>
      </c>
      <c r="K111" s="177">
        <v>6.5000000000000002E-2</v>
      </c>
      <c r="L111" s="119"/>
      <c r="M111" s="119"/>
      <c r="N111" s="119"/>
      <c r="O111" s="119"/>
      <c r="P111"/>
      <c r="Q111"/>
      <c r="R111"/>
      <c r="S111"/>
      <c r="T111"/>
    </row>
    <row r="112" spans="1:20" x14ac:dyDescent="0.15">
      <c r="A112" s="212"/>
      <c r="B112" s="119"/>
      <c r="C112" s="119"/>
      <c r="D112" s="119"/>
      <c r="E112" s="119"/>
      <c r="F112" s="119"/>
      <c r="G112" s="119"/>
      <c r="H112" s="90"/>
      <c r="I112" s="119"/>
      <c r="J112" s="90"/>
      <c r="K112" s="90"/>
      <c r="L112" s="119"/>
      <c r="M112" s="119"/>
      <c r="N112" s="119"/>
      <c r="O112" s="119"/>
      <c r="P112"/>
      <c r="Q112"/>
      <c r="R112"/>
      <c r="S112"/>
      <c r="T112"/>
    </row>
    <row r="113" spans="1:20" x14ac:dyDescent="0.15">
      <c r="A113" s="211" t="s">
        <v>91</v>
      </c>
      <c r="B113" s="181">
        <v>2012</v>
      </c>
      <c r="C113" s="181">
        <v>2013</v>
      </c>
      <c r="D113" s="181">
        <v>2014</v>
      </c>
      <c r="E113" s="181">
        <v>2015</v>
      </c>
      <c r="F113" s="181">
        <v>2016</v>
      </c>
      <c r="G113" s="181">
        <v>2017</v>
      </c>
      <c r="H113" s="181">
        <v>2018</v>
      </c>
      <c r="I113" s="181">
        <v>2019</v>
      </c>
      <c r="J113" s="181">
        <v>2020</v>
      </c>
      <c r="K113" s="181">
        <v>2021</v>
      </c>
      <c r="L113" s="181">
        <v>2022</v>
      </c>
      <c r="M113" s="181">
        <v>2023</v>
      </c>
      <c r="N113" s="181">
        <v>2024</v>
      </c>
      <c r="O113" s="181">
        <v>2025</v>
      </c>
      <c r="P113"/>
      <c r="Q113"/>
      <c r="R113"/>
      <c r="S113"/>
      <c r="T113"/>
    </row>
    <row r="114" spans="1:20" x14ac:dyDescent="0.15">
      <c r="A114" s="212" t="s">
        <v>76</v>
      </c>
      <c r="B114" s="183">
        <v>4814</v>
      </c>
      <c r="C114" s="183">
        <v>4814</v>
      </c>
      <c r="D114" s="183">
        <v>4814</v>
      </c>
      <c r="E114" s="183">
        <v>4857</v>
      </c>
      <c r="F114" s="183">
        <v>4881</v>
      </c>
      <c r="G114" s="183">
        <v>4895</v>
      </c>
      <c r="H114" s="183">
        <v>4934</v>
      </c>
      <c r="I114" s="183">
        <v>4993</v>
      </c>
      <c r="J114" s="183">
        <v>5072</v>
      </c>
      <c r="K114" s="183">
        <v>5142</v>
      </c>
      <c r="L114" s="183"/>
      <c r="M114" s="183"/>
      <c r="N114" s="183"/>
      <c r="O114" s="183"/>
      <c r="P114"/>
      <c r="Q114"/>
      <c r="R114"/>
      <c r="S114"/>
      <c r="T114"/>
    </row>
    <row r="115" spans="1:20" x14ac:dyDescent="0.15">
      <c r="A115" s="212" t="s">
        <v>77</v>
      </c>
      <c r="B115" s="183">
        <v>32539</v>
      </c>
      <c r="C115" s="183">
        <v>32539</v>
      </c>
      <c r="D115" s="183">
        <v>32539</v>
      </c>
      <c r="E115" s="183">
        <v>32832</v>
      </c>
      <c r="F115" s="183">
        <v>32969</v>
      </c>
      <c r="G115" s="183">
        <v>33065</v>
      </c>
      <c r="H115" s="183">
        <v>33331</v>
      </c>
      <c r="I115" s="183">
        <v>29753</v>
      </c>
      <c r="J115" s="183">
        <v>30234</v>
      </c>
      <c r="K115" s="96">
        <v>33331</v>
      </c>
      <c r="L115" s="183"/>
      <c r="M115" s="183"/>
      <c r="N115" s="183"/>
      <c r="O115" s="183"/>
      <c r="P115"/>
      <c r="Q115"/>
      <c r="R115"/>
      <c r="S115"/>
      <c r="T115"/>
    </row>
    <row r="116" spans="1:20" x14ac:dyDescent="0.15">
      <c r="A116" s="212" t="s">
        <v>118</v>
      </c>
      <c r="B116" s="120">
        <f>IF(B79=TRUE,1.837%,4%)</f>
        <v>0.04</v>
      </c>
      <c r="C116" s="120">
        <f>IF(C79=TRUE,2.064%,4%)</f>
        <v>0.04</v>
      </c>
      <c r="D116" s="120">
        <f>IF(D79=TRUE,2.038%,4%)</f>
        <v>0.04</v>
      </c>
      <c r="E116" s="120">
        <f>IF(E79=TRUE,2.037%,4%)</f>
        <v>0.04</v>
      </c>
      <c r="F116" s="120">
        <f>IF(F79=TRUE,3.143%,6.159%)</f>
        <v>6.1589999999999999E-2</v>
      </c>
      <c r="G116" s="120">
        <f>IF(G79=TRUE,3.143%,6.159%)</f>
        <v>6.1589999999999999E-2</v>
      </c>
      <c r="H116" s="120">
        <f>IF(H79=TRUE,3.143%,6.159%)</f>
        <v>6.1589999999999999E-2</v>
      </c>
      <c r="I116" s="120">
        <f>IF(I79=TRUE,5.86%,11.45%)</f>
        <v>0.11449999999999999</v>
      </c>
      <c r="J116" s="120">
        <f>IF(J79=TRUE,5.963%,11.45%)</f>
        <v>0.11449999999999999</v>
      </c>
      <c r="K116" s="178">
        <f>IF(K79=TRUE,5.963%,11.45%)</f>
        <v>0.11449999999999999</v>
      </c>
      <c r="L116" s="122"/>
      <c r="M116" s="122"/>
      <c r="N116" s="122"/>
      <c r="O116" s="122"/>
      <c r="P116"/>
      <c r="Q116"/>
      <c r="R116"/>
      <c r="S116"/>
      <c r="T116"/>
    </row>
    <row r="117" spans="1:20" x14ac:dyDescent="0.15">
      <c r="A117" s="212" t="s">
        <v>83</v>
      </c>
      <c r="B117" s="183">
        <f>IF($B$37=TRUE,IF(B79=TRUE,471,1024),0)</f>
        <v>0</v>
      </c>
      <c r="C117" s="183">
        <f>IF($B$37=TRUE,IF(C79=TRUE,529,1024),0)</f>
        <v>0</v>
      </c>
      <c r="D117" s="183">
        <f>IF($B$37=TRUE,IF(D79=TRUE,528,1024),0)</f>
        <v>0</v>
      </c>
      <c r="E117" s="183">
        <f>IF($B$37=TRUE,IF(E79=TRUE,528,1033),0)</f>
        <v>0</v>
      </c>
      <c r="F117" s="183">
        <f>IF($B$37=TRUE,IF(F79=TRUE,531,1039),0)</f>
        <v>0</v>
      </c>
      <c r="G117" s="183">
        <f>IF($B$37=TRUE,IF(G79=TRUE,533,1043),0)</f>
        <v>0</v>
      </c>
      <c r="H117" s="183">
        <f>IF($B$37=TRUE,IF(H79=TRUE,537,1052),0)</f>
        <v>0</v>
      </c>
      <c r="I117" s="183">
        <f>IF($B$37=TRUE,IF(I79=TRUE,0,0),0)</f>
        <v>0</v>
      </c>
      <c r="J117" s="183">
        <f>IF($B$37=TRUE,IF(J79=TRUE,0,0),0)</f>
        <v>0</v>
      </c>
      <c r="K117" s="96">
        <f>IF($B$37=TRUE,IF(K79=TRUE,0,0),0)</f>
        <v>0</v>
      </c>
      <c r="L117" s="183"/>
      <c r="M117" s="186"/>
      <c r="N117" s="183"/>
      <c r="O117" s="196"/>
      <c r="P117"/>
      <c r="Q117"/>
      <c r="R117"/>
      <c r="S117"/>
      <c r="T117"/>
    </row>
    <row r="118" spans="1:20" x14ac:dyDescent="0.15">
      <c r="A118" s="212" t="s">
        <v>82</v>
      </c>
      <c r="B118" s="183">
        <f>IF(B79=TRUE,980,2133)</f>
        <v>2133</v>
      </c>
      <c r="C118" s="183">
        <f>IF(C79=TRUE,1102,2133)</f>
        <v>2133</v>
      </c>
      <c r="D118" s="183">
        <f>IF(D79=TRUE,1081,2133)</f>
        <v>2133</v>
      </c>
      <c r="E118" s="183">
        <f>IF(E79=TRUE,1098,2152)</f>
        <v>2152</v>
      </c>
      <c r="F118" s="183">
        <f>IF(F79=TRUE,1413,2769)</f>
        <v>2769</v>
      </c>
      <c r="G118" s="183">
        <f>IF(G79=TRUE,1418,2778)</f>
        <v>2778</v>
      </c>
      <c r="H118" s="183">
        <f>IF(H79=TRUE,1431,2801)</f>
        <v>2801</v>
      </c>
      <c r="I118" s="183">
        <f>IF(I79=TRUE,1452,2835)</f>
        <v>2835</v>
      </c>
      <c r="J118" s="183">
        <f>IF(J79=TRUE,1452,2881)</f>
        <v>2881</v>
      </c>
      <c r="K118" s="183">
        <f>IF(K79=TRUE,1452,2881)</f>
        <v>2881</v>
      </c>
      <c r="L118" s="183"/>
      <c r="M118" s="186"/>
      <c r="N118" s="183"/>
      <c r="O118" s="196"/>
      <c r="P118"/>
      <c r="Q118"/>
      <c r="R118"/>
      <c r="S118"/>
      <c r="T118"/>
    </row>
    <row r="119" spans="1:20" x14ac:dyDescent="0.15">
      <c r="A119" s="212"/>
      <c r="B119" s="183"/>
      <c r="C119" s="183"/>
      <c r="D119" s="186"/>
      <c r="E119" s="183"/>
      <c r="F119" s="196"/>
      <c r="G119" s="197"/>
      <c r="H119" s="197"/>
      <c r="I119" s="183"/>
      <c r="J119" s="183"/>
      <c r="K119" s="183"/>
      <c r="L119" s="183"/>
      <c r="M119" s="186"/>
      <c r="N119" s="183"/>
      <c r="O119" s="196"/>
      <c r="P119"/>
      <c r="Q119"/>
      <c r="R119"/>
      <c r="S119"/>
      <c r="T119"/>
    </row>
    <row r="120" spans="1:20" x14ac:dyDescent="0.15">
      <c r="A120" s="181" t="s">
        <v>119</v>
      </c>
      <c r="B120" s="181">
        <v>2012</v>
      </c>
      <c r="C120" s="181">
        <v>2013</v>
      </c>
      <c r="D120" s="181">
        <v>2014</v>
      </c>
      <c r="E120" s="181">
        <v>2015</v>
      </c>
      <c r="F120" s="181">
        <v>2016</v>
      </c>
      <c r="G120" s="181">
        <v>2017</v>
      </c>
      <c r="H120" s="181">
        <v>2018</v>
      </c>
      <c r="I120" s="181">
        <v>2019</v>
      </c>
      <c r="J120" s="181">
        <v>2020</v>
      </c>
      <c r="K120" s="181">
        <v>2021</v>
      </c>
      <c r="L120" s="181">
        <v>2022</v>
      </c>
      <c r="M120" s="181">
        <v>2023</v>
      </c>
      <c r="N120" s="181">
        <v>2024</v>
      </c>
      <c r="O120" s="181">
        <v>2025</v>
      </c>
      <c r="P120"/>
      <c r="Q120"/>
      <c r="R120"/>
      <c r="S120"/>
      <c r="T120"/>
    </row>
    <row r="121" spans="1:20" x14ac:dyDescent="0.15">
      <c r="A121" s="212" t="s">
        <v>120</v>
      </c>
      <c r="B121" s="90">
        <v>7.0999999999999994E-2</v>
      </c>
      <c r="C121" s="90">
        <v>7.7499999999999999E-2</v>
      </c>
      <c r="D121" s="90">
        <v>7.4999999999999997E-2</v>
      </c>
      <c r="E121" s="90">
        <v>6.9500000000000006E-2</v>
      </c>
      <c r="F121" s="90">
        <v>6.7500000000000004E-2</v>
      </c>
      <c r="G121" s="90">
        <v>6.6500000000000004E-2</v>
      </c>
      <c r="H121" s="90">
        <v>6.9000000000000006E-2</v>
      </c>
      <c r="I121" s="186">
        <v>6.9500000000000006E-2</v>
      </c>
      <c r="J121" s="186">
        <v>6.7000000000000004E-2</v>
      </c>
      <c r="K121" s="175">
        <f t="shared" ref="K121:O123" si="3">J121</f>
        <v>6.7000000000000004E-2</v>
      </c>
      <c r="L121" s="175">
        <f t="shared" si="3"/>
        <v>6.7000000000000004E-2</v>
      </c>
      <c r="M121" s="175">
        <f t="shared" si="3"/>
        <v>6.7000000000000004E-2</v>
      </c>
      <c r="N121" s="175">
        <f t="shared" si="3"/>
        <v>6.7000000000000004E-2</v>
      </c>
      <c r="O121" s="175">
        <f t="shared" si="3"/>
        <v>6.7000000000000004E-2</v>
      </c>
      <c r="P121"/>
      <c r="Q121"/>
      <c r="R121"/>
      <c r="S121"/>
      <c r="T121"/>
    </row>
    <row r="122" spans="1:20" x14ac:dyDescent="0.15">
      <c r="A122" s="212" t="s">
        <v>121</v>
      </c>
      <c r="B122" s="123">
        <v>0.05</v>
      </c>
      <c r="C122" s="123">
        <v>5.6500000000000002E-2</v>
      </c>
      <c r="D122" s="123">
        <v>5.3999999999999999E-2</v>
      </c>
      <c r="E122" s="123">
        <v>4.8500000000000001E-2</v>
      </c>
      <c r="F122" s="90">
        <v>5.5E-2</v>
      </c>
      <c r="G122" s="90">
        <v>5.3999999999999999E-2</v>
      </c>
      <c r="H122" s="90">
        <v>5.6500000000000002E-2</v>
      </c>
      <c r="I122" s="186">
        <v>5.7000000000000002E-2</v>
      </c>
      <c r="J122" s="186">
        <v>5.45E-2</v>
      </c>
      <c r="K122" s="175">
        <f t="shared" si="3"/>
        <v>5.45E-2</v>
      </c>
      <c r="L122" s="175">
        <f t="shared" si="3"/>
        <v>5.45E-2</v>
      </c>
      <c r="M122" s="175">
        <f t="shared" si="3"/>
        <v>5.45E-2</v>
      </c>
      <c r="N122" s="175">
        <f t="shared" si="3"/>
        <v>5.45E-2</v>
      </c>
      <c r="O122" s="175">
        <f t="shared" si="3"/>
        <v>5.45E-2</v>
      </c>
      <c r="P122"/>
      <c r="Q122"/>
      <c r="R122"/>
      <c r="S122"/>
      <c r="T122"/>
    </row>
    <row r="123" spans="1:20" x14ac:dyDescent="0.15">
      <c r="A123" s="212" t="s">
        <v>122</v>
      </c>
      <c r="B123" s="203">
        <v>50064</v>
      </c>
      <c r="C123" s="203">
        <v>50853</v>
      </c>
      <c r="D123" s="203">
        <v>51414</v>
      </c>
      <c r="E123" s="203">
        <v>51976</v>
      </c>
      <c r="F123" s="203">
        <v>52763</v>
      </c>
      <c r="G123" s="204">
        <v>53701</v>
      </c>
      <c r="H123" s="205">
        <v>54614</v>
      </c>
      <c r="I123" s="205">
        <v>55923</v>
      </c>
      <c r="J123" s="182">
        <v>57232</v>
      </c>
      <c r="K123" s="206">
        <f t="shared" si="3"/>
        <v>57232</v>
      </c>
      <c r="L123" s="206">
        <f t="shared" si="3"/>
        <v>57232</v>
      </c>
      <c r="M123" s="206">
        <f t="shared" si="3"/>
        <v>57232</v>
      </c>
      <c r="N123" s="206">
        <f t="shared" si="3"/>
        <v>57232</v>
      </c>
      <c r="O123" s="206">
        <f t="shared" si="3"/>
        <v>57232</v>
      </c>
      <c r="P123"/>
      <c r="Q123"/>
      <c r="R123"/>
      <c r="S123"/>
      <c r="T123"/>
    </row>
    <row r="124" spans="1:20" x14ac:dyDescent="0.15">
      <c r="A124" s="212"/>
      <c r="B124" s="183"/>
      <c r="C124" s="183"/>
      <c r="D124" s="186"/>
      <c r="E124" s="183"/>
      <c r="F124" s="196"/>
      <c r="G124" s="197"/>
      <c r="H124" s="197"/>
      <c r="I124" s="183"/>
      <c r="J124" s="183"/>
      <c r="K124" s="183"/>
      <c r="L124" s="183"/>
      <c r="M124" s="186"/>
      <c r="N124" s="183"/>
      <c r="O124" s="196"/>
      <c r="P124"/>
      <c r="Q124"/>
      <c r="R124"/>
      <c r="S124"/>
      <c r="T124"/>
    </row>
    <row r="125" spans="1:20" x14ac:dyDescent="0.15">
      <c r="A125" s="211" t="s">
        <v>96</v>
      </c>
      <c r="B125" s="181">
        <v>2012</v>
      </c>
      <c r="C125" s="181">
        <v>2013</v>
      </c>
      <c r="D125" s="181">
        <v>2014</v>
      </c>
      <c r="E125" s="181">
        <v>2015</v>
      </c>
      <c r="F125" s="181">
        <v>2016</v>
      </c>
      <c r="G125" s="181">
        <v>2017</v>
      </c>
      <c r="H125" s="181">
        <v>2018</v>
      </c>
      <c r="I125" s="181">
        <v>2019</v>
      </c>
      <c r="J125" s="181">
        <v>2020</v>
      </c>
      <c r="K125" s="181">
        <v>2021</v>
      </c>
      <c r="L125" s="181">
        <v>2022</v>
      </c>
      <c r="M125" s="181">
        <v>2023</v>
      </c>
      <c r="N125" s="181">
        <v>2024</v>
      </c>
      <c r="O125" s="181">
        <v>2025</v>
      </c>
      <c r="P125"/>
      <c r="Q125"/>
      <c r="R125"/>
      <c r="S125"/>
      <c r="T125"/>
    </row>
    <row r="126" spans="1:20" x14ac:dyDescent="0.15">
      <c r="A126" s="212" t="s">
        <v>9</v>
      </c>
      <c r="B126" s="124">
        <v>0.12</v>
      </c>
      <c r="C126" s="124">
        <v>0.12</v>
      </c>
      <c r="D126" s="186">
        <v>0.109</v>
      </c>
      <c r="E126" s="90">
        <v>9.8000000000000004E-2</v>
      </c>
      <c r="F126" s="90">
        <v>9.8000000000000004E-2</v>
      </c>
      <c r="G126" s="90">
        <v>9.8000000000000004E-2</v>
      </c>
      <c r="H126" s="90">
        <v>9.4399999999999998E-2</v>
      </c>
      <c r="I126" s="90">
        <v>9.4399999999999998E-2</v>
      </c>
      <c r="J126" s="90">
        <f>I126</f>
        <v>9.4399999999999998E-2</v>
      </c>
      <c r="K126" s="177">
        <f t="shared" ref="K126:O127" si="4">J126</f>
        <v>9.4399999999999998E-2</v>
      </c>
      <c r="L126" s="177">
        <f t="shared" si="4"/>
        <v>9.4399999999999998E-2</v>
      </c>
      <c r="M126" s="177">
        <f t="shared" si="4"/>
        <v>9.4399999999999998E-2</v>
      </c>
      <c r="N126" s="177">
        <f t="shared" si="4"/>
        <v>9.4399999999999998E-2</v>
      </c>
      <c r="O126" s="177">
        <f t="shared" si="4"/>
        <v>9.4399999999999998E-2</v>
      </c>
      <c r="P126"/>
      <c r="Q126"/>
      <c r="R126"/>
      <c r="S126"/>
      <c r="T126"/>
    </row>
    <row r="127" spans="1:20" x14ac:dyDescent="0.15">
      <c r="A127" s="212" t="s">
        <v>123</v>
      </c>
      <c r="B127" s="182">
        <v>9542</v>
      </c>
      <c r="C127" s="182">
        <v>9542</v>
      </c>
      <c r="D127" s="182">
        <v>9542</v>
      </c>
      <c r="E127" s="182">
        <v>8631</v>
      </c>
      <c r="F127" s="182">
        <v>8774</v>
      </c>
      <c r="G127" s="182">
        <v>8946</v>
      </c>
      <c r="H127" s="182">
        <v>8775</v>
      </c>
      <c r="I127" s="182">
        <v>8999</v>
      </c>
      <c r="J127" s="182">
        <v>9218</v>
      </c>
      <c r="K127" s="206">
        <f t="shared" si="4"/>
        <v>9218</v>
      </c>
      <c r="L127" s="206">
        <f t="shared" si="4"/>
        <v>9218</v>
      </c>
      <c r="M127" s="206">
        <f t="shared" si="4"/>
        <v>9218</v>
      </c>
      <c r="N127" s="206">
        <f t="shared" si="4"/>
        <v>9218</v>
      </c>
      <c r="O127" s="206">
        <f t="shared" si="4"/>
        <v>9218</v>
      </c>
      <c r="P127"/>
      <c r="Q127"/>
      <c r="R127"/>
      <c r="S127"/>
      <c r="T127"/>
    </row>
    <row r="128" spans="1:20" x14ac:dyDescent="0.15">
      <c r="A128" s="212"/>
      <c r="B128" s="183"/>
      <c r="C128" s="183"/>
      <c r="D128" s="183"/>
      <c r="E128" s="183"/>
      <c r="F128" s="183"/>
      <c r="G128" s="202"/>
      <c r="H128" s="202"/>
      <c r="I128" s="183"/>
      <c r="J128" s="183"/>
      <c r="K128" s="183"/>
      <c r="L128" s="183"/>
      <c r="M128" s="183"/>
      <c r="N128" s="183"/>
      <c r="O128" s="183"/>
      <c r="P128"/>
      <c r="Q128"/>
      <c r="R128"/>
      <c r="S128"/>
      <c r="T128"/>
    </row>
    <row r="129" spans="1:20" x14ac:dyDescent="0.15">
      <c r="A129" s="181"/>
      <c r="B129" s="181">
        <v>2012</v>
      </c>
      <c r="C129" s="181">
        <v>2013</v>
      </c>
      <c r="D129" s="181">
        <v>2014</v>
      </c>
      <c r="E129" s="181">
        <v>2015</v>
      </c>
      <c r="F129" s="181">
        <v>2016</v>
      </c>
      <c r="G129" s="181">
        <v>2017</v>
      </c>
      <c r="H129" s="181">
        <v>2018</v>
      </c>
      <c r="I129" s="181">
        <v>2019</v>
      </c>
      <c r="J129" s="181">
        <v>2020</v>
      </c>
      <c r="K129" s="181">
        <v>2021</v>
      </c>
      <c r="L129" s="181">
        <v>2022</v>
      </c>
      <c r="M129" s="181">
        <v>2023</v>
      </c>
      <c r="N129" s="181">
        <v>2024</v>
      </c>
      <c r="O129" s="181">
        <v>2025</v>
      </c>
      <c r="P129" s="181">
        <v>2026</v>
      </c>
      <c r="Q129" s="181">
        <v>2027</v>
      </c>
      <c r="R129" s="181">
        <v>2028</v>
      </c>
      <c r="S129" s="181">
        <v>2029</v>
      </c>
      <c r="T129" s="181">
        <v>2030</v>
      </c>
    </row>
    <row r="130" spans="1:20" x14ac:dyDescent="0.15">
      <c r="A130" s="211" t="s">
        <v>11</v>
      </c>
      <c r="B130" s="183">
        <f t="shared" ref="B130:G130" si="5">IF($B79,3640,7280)</f>
        <v>7280</v>
      </c>
      <c r="C130" s="183">
        <f t="shared" si="5"/>
        <v>7280</v>
      </c>
      <c r="D130" s="183">
        <f t="shared" si="5"/>
        <v>7280</v>
      </c>
      <c r="E130" s="183">
        <f t="shared" si="5"/>
        <v>7280</v>
      </c>
      <c r="F130" s="183">
        <f t="shared" si="5"/>
        <v>7280</v>
      </c>
      <c r="G130" s="183">
        <f t="shared" si="5"/>
        <v>7280</v>
      </c>
      <c r="H130" s="183">
        <f>IF(H79,3640,7280)</f>
        <v>7280</v>
      </c>
      <c r="I130" s="183">
        <f>IF(I79,3640,7280)</f>
        <v>7280</v>
      </c>
      <c r="J130" s="183">
        <f>I130-250</f>
        <v>7030</v>
      </c>
      <c r="K130" s="96">
        <f t="shared" ref="K130:O130" si="6">J130-250</f>
        <v>6780</v>
      </c>
      <c r="L130" s="96">
        <f t="shared" si="6"/>
        <v>6530</v>
      </c>
      <c r="M130" s="96">
        <f t="shared" si="6"/>
        <v>6280</v>
      </c>
      <c r="N130" s="96">
        <f t="shared" si="6"/>
        <v>6030</v>
      </c>
      <c r="O130" s="96">
        <f t="shared" si="6"/>
        <v>5780</v>
      </c>
      <c r="P130" s="96">
        <f t="shared" ref="P130:Q130" si="7">O130-250</f>
        <v>5530</v>
      </c>
      <c r="Q130" s="96">
        <f t="shared" si="7"/>
        <v>5280</v>
      </c>
      <c r="R130" s="96">
        <v>5000</v>
      </c>
      <c r="S130" s="96"/>
      <c r="T130" s="96"/>
    </row>
    <row r="131" spans="1:20" x14ac:dyDescent="0.15">
      <c r="A131" s="211" t="s">
        <v>12</v>
      </c>
      <c r="B131" s="183">
        <f t="shared" ref="B131:G131" si="8">IF($B79,1062,2123)</f>
        <v>2123</v>
      </c>
      <c r="C131" s="183">
        <f t="shared" si="8"/>
        <v>2123</v>
      </c>
      <c r="D131" s="183">
        <f t="shared" si="8"/>
        <v>2123</v>
      </c>
      <c r="E131" s="183">
        <f t="shared" si="8"/>
        <v>2123</v>
      </c>
      <c r="F131" s="183">
        <f t="shared" si="8"/>
        <v>2123</v>
      </c>
      <c r="G131" s="183">
        <f t="shared" si="8"/>
        <v>2123</v>
      </c>
      <c r="H131" s="183">
        <f>IF(H79,1062,2123)</f>
        <v>2123</v>
      </c>
      <c r="I131" s="183">
        <f>IF(I79,1062,2123)</f>
        <v>2123</v>
      </c>
      <c r="J131" s="183">
        <f>IF(J79,1062,2123)</f>
        <v>2123</v>
      </c>
      <c r="K131" s="96">
        <f>IF(K79,1062,2123)</f>
        <v>2123</v>
      </c>
      <c r="L131" s="200"/>
      <c r="M131" s="200"/>
      <c r="N131" s="200"/>
      <c r="O131" s="200"/>
      <c r="P131"/>
      <c r="Q131"/>
      <c r="R131"/>
      <c r="S131"/>
      <c r="T131"/>
    </row>
    <row r="132" spans="1:20" x14ac:dyDescent="0.15">
      <c r="A132" s="211" t="s">
        <v>124</v>
      </c>
      <c r="B132" s="183"/>
      <c r="C132" s="183"/>
      <c r="D132" s="186"/>
      <c r="E132" s="183"/>
      <c r="F132" s="196"/>
      <c r="G132" s="197"/>
      <c r="H132" s="197"/>
      <c r="I132" s="183"/>
      <c r="J132" s="183"/>
      <c r="K132" s="183"/>
      <c r="L132" s="183"/>
      <c r="M132" s="186"/>
      <c r="N132" s="183"/>
      <c r="O132" s="196"/>
      <c r="P132"/>
      <c r="Q132"/>
      <c r="R132"/>
      <c r="S132"/>
      <c r="T132"/>
    </row>
    <row r="133" spans="1:20" x14ac:dyDescent="0.15">
      <c r="A133" s="212"/>
      <c r="B133" s="183"/>
      <c r="C133" s="183"/>
      <c r="D133" s="186"/>
      <c r="E133" s="183"/>
      <c r="F133" s="196"/>
      <c r="G133" s="197"/>
      <c r="H133" s="197"/>
      <c r="I133" s="183"/>
      <c r="J133" s="183"/>
      <c r="K133" s="183"/>
      <c r="L133" s="183"/>
      <c r="M133" s="186"/>
      <c r="N133" s="183"/>
      <c r="O133" s="196"/>
      <c r="P133"/>
      <c r="Q133"/>
      <c r="R133"/>
      <c r="S133"/>
      <c r="T133"/>
    </row>
    <row r="134" spans="1:20" x14ac:dyDescent="0.15">
      <c r="A134" s="211" t="s">
        <v>14</v>
      </c>
      <c r="B134" s="181">
        <v>2012</v>
      </c>
      <c r="C134" s="181">
        <v>2013</v>
      </c>
      <c r="D134" s="181">
        <v>2014</v>
      </c>
      <c r="E134" s="181">
        <v>2015</v>
      </c>
      <c r="F134" s="181">
        <v>2016</v>
      </c>
      <c r="G134" s="181">
        <v>2017</v>
      </c>
      <c r="H134" s="181">
        <v>2018</v>
      </c>
      <c r="I134" s="181">
        <v>2019</v>
      </c>
      <c r="J134" s="181">
        <v>2020</v>
      </c>
      <c r="K134" s="181">
        <v>2021</v>
      </c>
      <c r="L134" s="181">
        <v>2022</v>
      </c>
      <c r="M134" s="181">
        <v>2023</v>
      </c>
      <c r="N134" s="181">
        <v>2024</v>
      </c>
      <c r="O134" s="181">
        <v>2025</v>
      </c>
      <c r="P134"/>
      <c r="Q134"/>
      <c r="R134"/>
      <c r="S134"/>
      <c r="T134"/>
    </row>
    <row r="135" spans="1:20" x14ac:dyDescent="0.15">
      <c r="A135" s="212"/>
      <c r="B135" s="188">
        <v>0.12</v>
      </c>
      <c r="C135" s="188">
        <v>0.14000000000000001</v>
      </c>
      <c r="D135" s="188">
        <v>0.14000000000000001</v>
      </c>
      <c r="E135" s="188">
        <v>0.14000000000000001</v>
      </c>
      <c r="F135" s="188">
        <v>0.14000000000000001</v>
      </c>
      <c r="G135" s="188">
        <v>0.14000000000000001</v>
      </c>
      <c r="H135" s="188">
        <v>0.14000000000000001</v>
      </c>
      <c r="I135" s="188">
        <v>0.14000000000000001</v>
      </c>
      <c r="J135" s="188">
        <v>0.14000000000000001</v>
      </c>
      <c r="K135" s="207">
        <v>0.14000000000000001</v>
      </c>
      <c r="L135" s="188">
        <v>0.14000000000000001</v>
      </c>
      <c r="M135" s="188">
        <v>0.14000000000000001</v>
      </c>
      <c r="N135" s="188">
        <v>0.14000000000000001</v>
      </c>
      <c r="O135" s="188">
        <v>0.14000000000000001</v>
      </c>
      <c r="P135"/>
      <c r="Q135"/>
      <c r="R135"/>
      <c r="S135"/>
      <c r="T135"/>
    </row>
    <row r="136" spans="1:20" x14ac:dyDescent="0.15">
      <c r="A136" s="212"/>
      <c r="B136" s="183"/>
      <c r="C136" s="183"/>
      <c r="D136" s="183"/>
      <c r="E136" s="183"/>
      <c r="F136" s="183"/>
      <c r="G136" s="202"/>
      <c r="H136" s="202"/>
      <c r="I136" s="183"/>
      <c r="J136" s="183"/>
      <c r="K136" s="183"/>
      <c r="L136" s="183"/>
      <c r="M136" s="183"/>
      <c r="N136" s="183"/>
      <c r="O136" s="183"/>
      <c r="P136"/>
      <c r="Q136"/>
      <c r="R136"/>
      <c r="S136"/>
      <c r="T136"/>
    </row>
    <row r="137" spans="1:20" x14ac:dyDescent="0.15">
      <c r="A137" s="211" t="s">
        <v>8</v>
      </c>
      <c r="B137" s="181">
        <v>2012</v>
      </c>
      <c r="C137" s="181">
        <v>2013</v>
      </c>
      <c r="D137" s="181">
        <v>2014</v>
      </c>
      <c r="E137" s="181">
        <v>2015</v>
      </c>
      <c r="F137" s="181">
        <v>2016</v>
      </c>
      <c r="G137" s="181">
        <v>2017</v>
      </c>
      <c r="H137" s="181">
        <v>2018</v>
      </c>
      <c r="I137" s="181">
        <v>2019</v>
      </c>
      <c r="J137" s="181">
        <v>2020</v>
      </c>
      <c r="K137" s="181">
        <v>2021</v>
      </c>
      <c r="L137" s="181">
        <v>2022</v>
      </c>
      <c r="M137" s="181">
        <v>2023</v>
      </c>
      <c r="N137" s="181">
        <v>2024</v>
      </c>
      <c r="O137" s="181">
        <v>2025</v>
      </c>
      <c r="P137"/>
      <c r="Q137"/>
      <c r="R137"/>
      <c r="S137"/>
      <c r="T137"/>
    </row>
    <row r="138" spans="1:20" x14ac:dyDescent="0.15">
      <c r="A138" s="212" t="s">
        <v>125</v>
      </c>
      <c r="B138" s="208">
        <v>1040000</v>
      </c>
      <c r="C138" s="208">
        <v>1040000</v>
      </c>
      <c r="D138" s="208">
        <v>1040000</v>
      </c>
      <c r="E138" s="208">
        <v>1050000</v>
      </c>
      <c r="F138" s="208">
        <v>1050000</v>
      </c>
      <c r="G138" s="208">
        <v>1060000</v>
      </c>
      <c r="H138" s="208">
        <v>1060000</v>
      </c>
      <c r="I138" s="208">
        <v>1080000</v>
      </c>
      <c r="J138" s="208">
        <v>1090000</v>
      </c>
      <c r="K138" s="209">
        <f t="shared" ref="K138:O138" si="9">J138</f>
        <v>1090000</v>
      </c>
      <c r="L138" s="209">
        <f t="shared" si="9"/>
        <v>1090000</v>
      </c>
      <c r="M138" s="209">
        <f t="shared" si="9"/>
        <v>1090000</v>
      </c>
      <c r="N138" s="209">
        <f t="shared" si="9"/>
        <v>1090000</v>
      </c>
      <c r="O138" s="209">
        <f t="shared" si="9"/>
        <v>1090000</v>
      </c>
      <c r="P138"/>
      <c r="Q138"/>
      <c r="R138"/>
      <c r="S138"/>
      <c r="T138"/>
    </row>
    <row r="139" spans="1:20" x14ac:dyDescent="0.15">
      <c r="A139" s="212">
        <v>12500</v>
      </c>
      <c r="B139" s="186">
        <v>2E-3</v>
      </c>
      <c r="C139" s="186">
        <v>2E-3</v>
      </c>
      <c r="D139" s="186">
        <v>2.5000000000000001E-3</v>
      </c>
      <c r="E139" s="186">
        <v>3.0000000000000001E-3</v>
      </c>
      <c r="F139" s="186">
        <v>3.0000000000000001E-3</v>
      </c>
      <c r="G139" s="186">
        <v>3.0000000000000001E-3</v>
      </c>
      <c r="H139" s="186">
        <v>2.5000000000000001E-3</v>
      </c>
      <c r="I139" s="186">
        <v>2.5000000000000001E-3</v>
      </c>
      <c r="J139" s="186">
        <v>2E-3</v>
      </c>
      <c r="K139" s="186">
        <v>2E-3</v>
      </c>
      <c r="L139" s="186">
        <v>2E-3</v>
      </c>
      <c r="M139" s="186">
        <v>1.5E-3</v>
      </c>
      <c r="N139" s="183"/>
      <c r="O139" s="183"/>
      <c r="P139"/>
      <c r="Q139"/>
      <c r="R139"/>
      <c r="S139"/>
      <c r="T139"/>
    </row>
    <row r="140" spans="1:20" x14ac:dyDescent="0.15">
      <c r="A140" s="212">
        <v>25000</v>
      </c>
      <c r="B140" s="210">
        <v>3.5000000000000001E-3</v>
      </c>
      <c r="C140" s="210">
        <v>3.5000000000000001E-3</v>
      </c>
      <c r="D140" s="210">
        <v>4.0000000000000001E-3</v>
      </c>
      <c r="E140" s="210">
        <v>4.4999999999999997E-3</v>
      </c>
      <c r="F140" s="210">
        <v>4.4999999999999997E-3</v>
      </c>
      <c r="G140" s="210">
        <v>4.4999999999999997E-3</v>
      </c>
      <c r="H140" s="210">
        <v>4.0000000000000001E-3</v>
      </c>
      <c r="I140" s="176">
        <v>3.5000000000000001E-3</v>
      </c>
      <c r="J140" s="176">
        <v>3.5000000000000001E-3</v>
      </c>
      <c r="K140" s="176">
        <v>3.0000000000000001E-3</v>
      </c>
      <c r="L140" s="176">
        <v>3.0000000000000001E-3</v>
      </c>
      <c r="M140" s="176">
        <v>2.5000000000000001E-3</v>
      </c>
      <c r="N140" s="203"/>
      <c r="O140" s="203"/>
      <c r="P140"/>
      <c r="Q140"/>
      <c r="R140"/>
      <c r="S140"/>
      <c r="T140"/>
    </row>
    <row r="141" spans="1:20" x14ac:dyDescent="0.15">
      <c r="A141" s="212">
        <v>50000</v>
      </c>
      <c r="B141" s="186">
        <v>4.4999999999999997E-3</v>
      </c>
      <c r="C141" s="186">
        <v>4.4999999999999997E-3</v>
      </c>
      <c r="D141" s="186">
        <v>5.4999999999999997E-3</v>
      </c>
      <c r="E141" s="186">
        <v>6.0000000000000001E-3</v>
      </c>
      <c r="F141" s="186">
        <v>6.0000000000000001E-3</v>
      </c>
      <c r="G141" s="186">
        <v>6.0000000000000001E-3</v>
      </c>
      <c r="H141" s="186">
        <v>5.4999999999999997E-3</v>
      </c>
      <c r="I141" s="176">
        <v>5.0000000000000001E-3</v>
      </c>
      <c r="J141" s="176">
        <v>4.4999999999999997E-3</v>
      </c>
      <c r="K141" s="176">
        <v>4.0000000000000001E-3</v>
      </c>
      <c r="L141" s="176">
        <v>4.0000000000000001E-3</v>
      </c>
      <c r="M141" s="176">
        <v>3.5000000000000001E-3</v>
      </c>
      <c r="N141" s="183"/>
      <c r="O141" s="196"/>
      <c r="P141"/>
      <c r="Q141"/>
      <c r="R141"/>
      <c r="S141"/>
      <c r="T141"/>
    </row>
    <row r="142" spans="1:20" x14ac:dyDescent="0.15">
      <c r="A142" s="212">
        <v>75000</v>
      </c>
      <c r="B142" s="186">
        <v>6.0000000000000001E-3</v>
      </c>
      <c r="C142" s="186">
        <v>6.0000000000000001E-3</v>
      </c>
      <c r="D142" s="186">
        <v>7.0000000000000001E-3</v>
      </c>
      <c r="E142" s="186">
        <v>7.4999999999999997E-3</v>
      </c>
      <c r="F142" s="186">
        <v>7.4999999999999997E-3</v>
      </c>
      <c r="G142" s="186">
        <v>7.4999999999999997E-3</v>
      </c>
      <c r="H142" s="186">
        <v>7.0000000000000001E-3</v>
      </c>
      <c r="I142" s="176">
        <v>6.4999999999999997E-3</v>
      </c>
      <c r="J142" s="176">
        <v>6.0000000000000001E-3</v>
      </c>
      <c r="K142" s="176">
        <v>5.0000000000000001E-3</v>
      </c>
      <c r="L142" s="176">
        <v>5.0000000000000001E-3</v>
      </c>
      <c r="M142" s="176">
        <v>4.4999999999999997E-3</v>
      </c>
      <c r="N142" s="183"/>
      <c r="O142" s="196"/>
      <c r="P142"/>
      <c r="Q142"/>
      <c r="R142"/>
      <c r="S142"/>
      <c r="T142"/>
    </row>
    <row r="143" spans="1:20" x14ac:dyDescent="0.15">
      <c r="A143" s="212">
        <f>LOOKUP(A1,B137:O137,B138:O138)</f>
        <v>1090000</v>
      </c>
      <c r="B143" s="186">
        <v>1.2999999999999999E-2</v>
      </c>
      <c r="C143" s="186">
        <v>1.55E-2</v>
      </c>
      <c r="D143" s="186">
        <v>1.7999999999999999E-2</v>
      </c>
      <c r="E143" s="186">
        <v>2.0500000000000001E-2</v>
      </c>
      <c r="F143" s="186">
        <v>2.35E-2</v>
      </c>
      <c r="G143" s="186">
        <v>2.35E-2</v>
      </c>
      <c r="H143" s="186">
        <v>2.35E-2</v>
      </c>
      <c r="I143" s="176">
        <v>2.35E-2</v>
      </c>
      <c r="J143" s="176">
        <v>2.35E-2</v>
      </c>
      <c r="K143" s="176">
        <v>2.35E-2</v>
      </c>
      <c r="L143" s="176">
        <v>2.35E-2</v>
      </c>
      <c r="M143" s="176">
        <v>2.35E-2</v>
      </c>
      <c r="N143" s="183"/>
      <c r="O143" s="196"/>
      <c r="P143"/>
      <c r="Q143"/>
      <c r="R143"/>
      <c r="S143"/>
      <c r="T143"/>
    </row>
    <row r="144" spans="1:20" x14ac:dyDescent="0.15">
      <c r="A144" s="212" t="s">
        <v>129</v>
      </c>
      <c r="B144" s="188">
        <v>1</v>
      </c>
      <c r="C144" s="188">
        <v>1</v>
      </c>
      <c r="D144" s="188">
        <v>1</v>
      </c>
      <c r="E144" s="188">
        <v>1</v>
      </c>
      <c r="F144" s="188">
        <v>1</v>
      </c>
      <c r="G144" s="188">
        <v>1</v>
      </c>
      <c r="H144" s="188">
        <v>1</v>
      </c>
      <c r="I144" s="186">
        <f>H144-(1/30)</f>
        <v>0.96666666666666667</v>
      </c>
      <c r="J144" s="186">
        <f t="shared" ref="J144:O144" si="10">I144-(1/30)</f>
        <v>0.93333333333333335</v>
      </c>
      <c r="K144" s="186">
        <f t="shared" si="10"/>
        <v>0.9</v>
      </c>
      <c r="L144" s="186">
        <f t="shared" si="10"/>
        <v>0.8666666666666667</v>
      </c>
      <c r="M144" s="186">
        <f t="shared" si="10"/>
        <v>0.83333333333333337</v>
      </c>
      <c r="N144" s="186">
        <f t="shared" si="10"/>
        <v>0.8</v>
      </c>
      <c r="O144" s="186">
        <f t="shared" si="10"/>
        <v>0.76666666666666672</v>
      </c>
    </row>
  </sheetData>
  <sheetProtection algorithmName="SHA-512" hashValue="M+/dMNaH8hq/Mrb/d2+XNdIsdEKlgucn2dkzZEduVkSoKX9x6UEVSKBoX8LLxuRxVTJaWi4CLsbw0K7DT1vImA==" saltValue="jB89AOUAFlhvBztAG8ci9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T144"/>
  <sheetViews>
    <sheetView showGridLines="0" showRowColHeaders="0" topLeftCell="A113" workbookViewId="0">
      <selection activeCell="A72" sqref="A72:O144"/>
    </sheetView>
  </sheetViews>
  <sheetFormatPr defaultColWidth="0.140625" defaultRowHeight="11.25" x14ac:dyDescent="0.15"/>
  <cols>
    <col min="1" max="1" width="33.42578125" style="127" bestFit="1" customWidth="1"/>
    <col min="2" max="2" width="16.140625" style="127" bestFit="1" customWidth="1"/>
    <col min="3" max="3" width="10.140625" style="127" bestFit="1" customWidth="1"/>
    <col min="4" max="4" width="19" style="127" bestFit="1" customWidth="1"/>
    <col min="5" max="6" width="10.7109375" style="127" bestFit="1" customWidth="1"/>
    <col min="7" max="14" width="10.140625" style="127" bestFit="1" customWidth="1"/>
    <col min="15" max="15" width="5.5703125" style="127" bestFit="1" customWidth="1"/>
    <col min="16" max="16384" width="0.140625" style="127"/>
  </cols>
  <sheetData>
    <row r="1" spans="1:15" ht="15" x14ac:dyDescent="0.15">
      <c r="A1" s="73">
        <f>'1'!E2</f>
        <v>2020</v>
      </c>
      <c r="B1" s="74" t="s">
        <v>69</v>
      </c>
      <c r="C1" s="74"/>
      <c r="D1" s="75">
        <f ca="1">D12-D24-D32-D35</f>
        <v>0</v>
      </c>
      <c r="E1" s="74"/>
      <c r="F1" s="76"/>
      <c r="G1" s="77"/>
      <c r="H1" s="74"/>
      <c r="I1" s="78"/>
      <c r="J1" s="74"/>
      <c r="K1" s="74"/>
      <c r="L1" s="74"/>
      <c r="M1" s="74"/>
      <c r="N1" s="74"/>
      <c r="O1" s="74"/>
    </row>
    <row r="2" spans="1:15" ht="15" x14ac:dyDescent="0.15">
      <c r="A2" s="130">
        <f>'1'!E125</f>
        <v>0</v>
      </c>
      <c r="B2" s="74" t="s">
        <v>128</v>
      </c>
      <c r="C2" s="74"/>
      <c r="D2" s="75"/>
      <c r="E2" s="74"/>
      <c r="F2" s="77"/>
      <c r="G2" s="77"/>
      <c r="H2" s="74"/>
      <c r="I2" s="78"/>
      <c r="J2" s="74"/>
      <c r="K2" s="74"/>
      <c r="L2" s="74"/>
      <c r="M2" s="74"/>
      <c r="N2" s="74"/>
      <c r="O2" s="74"/>
    </row>
    <row r="3" spans="1:15" x14ac:dyDescent="0.15">
      <c r="A3" s="125">
        <f>'1'!E131</f>
        <v>0</v>
      </c>
      <c r="B3" s="74" t="s">
        <v>65</v>
      </c>
      <c r="C3" s="74"/>
      <c r="D3" s="74"/>
      <c r="E3" s="74"/>
      <c r="F3" s="79"/>
      <c r="G3" s="74"/>
      <c r="H3" s="74"/>
      <c r="I3" s="74"/>
      <c r="J3" s="74"/>
      <c r="K3" s="74"/>
      <c r="L3" s="74"/>
      <c r="M3" s="74"/>
      <c r="N3" s="74"/>
      <c r="O3" s="74"/>
    </row>
    <row r="4" spans="1:15" x14ac:dyDescent="0.15">
      <c r="A4" s="80">
        <f>'1'!E79</f>
        <v>36526</v>
      </c>
      <c r="B4" s="74" t="s">
        <v>70</v>
      </c>
      <c r="C4" s="74"/>
      <c r="D4" s="74"/>
      <c r="E4" s="74"/>
      <c r="F4" s="81"/>
      <c r="G4" s="74"/>
      <c r="H4" s="74"/>
      <c r="I4" s="74"/>
      <c r="J4" s="74"/>
      <c r="K4" s="74"/>
      <c r="L4" s="74"/>
      <c r="M4" s="74"/>
      <c r="N4" s="74"/>
      <c r="O4" s="74"/>
    </row>
    <row r="5" spans="1:15" x14ac:dyDescent="0.15">
      <c r="A5" s="82"/>
      <c r="B5" s="74"/>
      <c r="C5" s="74"/>
      <c r="D5" s="74"/>
      <c r="E5" s="74"/>
      <c r="F5" s="76"/>
      <c r="G5" s="77"/>
      <c r="H5" s="74"/>
      <c r="I5" s="74"/>
      <c r="J5" s="74"/>
      <c r="K5" s="74"/>
      <c r="L5" s="74"/>
      <c r="M5" s="74"/>
      <c r="N5" s="74"/>
      <c r="O5" s="74"/>
    </row>
    <row r="6" spans="1:15" x14ac:dyDescent="0.15">
      <c r="A6" s="83" t="s">
        <v>71</v>
      </c>
      <c r="B6" s="74"/>
      <c r="C6" s="74"/>
      <c r="D6" s="74"/>
      <c r="E6" s="74"/>
      <c r="F6" s="76"/>
      <c r="G6" s="77"/>
      <c r="H6" s="74"/>
      <c r="I6" s="74"/>
      <c r="J6" s="74"/>
      <c r="K6" s="74"/>
      <c r="L6" s="74"/>
      <c r="M6" s="74"/>
      <c r="N6" s="74"/>
      <c r="O6" s="74"/>
    </row>
    <row r="7" spans="1:15" x14ac:dyDescent="0.15">
      <c r="A7" s="84" t="s">
        <v>72</v>
      </c>
      <c r="B7" s="85" t="s">
        <v>73</v>
      </c>
      <c r="C7" s="85" t="s">
        <v>74</v>
      </c>
      <c r="D7" s="86" t="s">
        <v>75</v>
      </c>
      <c r="E7" s="74"/>
      <c r="F7" s="87"/>
      <c r="G7" s="85"/>
      <c r="H7" s="85"/>
      <c r="I7" s="86"/>
      <c r="J7" s="74"/>
      <c r="K7" s="74"/>
      <c r="L7" s="74"/>
      <c r="M7" s="74"/>
      <c r="N7" s="74"/>
      <c r="O7" s="74"/>
    </row>
    <row r="8" spans="1:15" x14ac:dyDescent="0.15">
      <c r="A8" s="88" t="s">
        <v>76</v>
      </c>
      <c r="B8" s="89">
        <f>LOOKUP($A$1,$B$73:$O$73,B74:O74)</f>
        <v>20711</v>
      </c>
      <c r="C8" s="90">
        <f ca="1">LOOKUP($A$1,$B$73:$O$73,B80:G80)</f>
        <v>0.3735</v>
      </c>
      <c r="D8" s="91">
        <f ca="1">IF($A$3&gt;$B8,$B8*$C8,$A$3*$C8)</f>
        <v>0</v>
      </c>
      <c r="E8" s="74"/>
      <c r="F8" s="92"/>
      <c r="G8" s="89"/>
      <c r="H8" s="90"/>
      <c r="I8" s="91"/>
      <c r="J8" s="74"/>
      <c r="K8" s="74"/>
      <c r="L8" s="74"/>
      <c r="M8" s="74"/>
      <c r="N8" s="74"/>
      <c r="O8" s="74"/>
    </row>
    <row r="9" spans="1:15" x14ac:dyDescent="0.15">
      <c r="A9" s="88" t="s">
        <v>77</v>
      </c>
      <c r="B9" s="89">
        <f>LOOKUP($A$1,$B$73:$O$73,B75:O75)</f>
        <v>34712</v>
      </c>
      <c r="C9" s="90">
        <f ca="1">LOOKUP($A$1,$B$73:$O$73,B81:G81)</f>
        <v>0.3735</v>
      </c>
      <c r="D9" s="91">
        <f ca="1">MAX(IF($A$3&gt;$B9,($B9-$B8)*$C9,($A$3-$B8)*$C9),0)</f>
        <v>0</v>
      </c>
      <c r="E9" s="74"/>
      <c r="F9" s="92"/>
      <c r="G9" s="89"/>
      <c r="H9" s="90"/>
      <c r="I9" s="91"/>
      <c r="J9" s="74"/>
      <c r="K9" s="74"/>
      <c r="L9" s="74"/>
      <c r="M9" s="74"/>
      <c r="N9" s="74"/>
      <c r="O9" s="74"/>
    </row>
    <row r="10" spans="1:15" x14ac:dyDescent="0.15">
      <c r="A10" s="88" t="s">
        <v>78</v>
      </c>
      <c r="B10" s="89">
        <f>LOOKUP($A$1,$B$73:$O$73,B76:O76)</f>
        <v>68507</v>
      </c>
      <c r="C10" s="90">
        <f ca="1">LOOKUP($A$1,$B$73:$O$73,B82:G82)</f>
        <v>0.3735</v>
      </c>
      <c r="D10" s="91">
        <f ca="1">MAX(IF($A$3&gt;$B10,($B10-$B9)*$C10,($A$3-$B9)*$C10),0)</f>
        <v>0</v>
      </c>
      <c r="E10" s="74"/>
      <c r="F10" s="92"/>
      <c r="G10" s="89"/>
      <c r="H10" s="90"/>
      <c r="I10" s="91"/>
      <c r="J10" s="74"/>
      <c r="K10" s="74"/>
      <c r="L10" s="74"/>
      <c r="M10" s="74"/>
      <c r="N10" s="74"/>
      <c r="O10" s="74"/>
    </row>
    <row r="11" spans="1:15" x14ac:dyDescent="0.15">
      <c r="A11" s="88" t="s">
        <v>79</v>
      </c>
      <c r="B11" s="93">
        <v>1E+100</v>
      </c>
      <c r="C11" s="90">
        <f ca="1">LOOKUP($A$1,$B$73:$O$73,B83:G83)</f>
        <v>0.495</v>
      </c>
      <c r="D11" s="91">
        <f ca="1">MAX(IF($A$3&gt;$B11,($B11-$B10)*$C11,($A$3-$B10)*$C11),0)</f>
        <v>0</v>
      </c>
      <c r="E11" s="74"/>
      <c r="F11" s="92"/>
      <c r="G11" s="93"/>
      <c r="H11" s="90"/>
      <c r="I11" s="91"/>
      <c r="J11" s="74"/>
      <c r="K11" s="74"/>
      <c r="L11" s="74"/>
      <c r="M11" s="74"/>
      <c r="N11" s="74"/>
      <c r="O11" s="74"/>
    </row>
    <row r="12" spans="1:15" ht="15" x14ac:dyDescent="0.15">
      <c r="A12" s="88"/>
      <c r="B12" s="89"/>
      <c r="C12" s="89"/>
      <c r="D12" s="94">
        <f ca="1">ROUNDDOWN(SUM(D8:D11),0)</f>
        <v>0</v>
      </c>
      <c r="E12" s="74"/>
      <c r="F12" s="92"/>
      <c r="G12" s="89"/>
      <c r="H12" s="89"/>
      <c r="I12" s="95"/>
      <c r="J12" s="74"/>
      <c r="K12" s="74"/>
      <c r="L12" s="74"/>
      <c r="M12" s="74"/>
      <c r="N12" s="74"/>
      <c r="O12" s="74"/>
    </row>
    <row r="13" spans="1:15" ht="15" x14ac:dyDescent="0.15">
      <c r="A13" s="88"/>
      <c r="B13" s="89"/>
      <c r="C13" s="89"/>
      <c r="D13" s="95"/>
      <c r="E13" s="74"/>
      <c r="F13" s="88"/>
      <c r="G13" s="89"/>
      <c r="H13" s="89"/>
      <c r="I13" s="95"/>
      <c r="J13" s="74"/>
      <c r="K13" s="74"/>
      <c r="L13" s="74"/>
      <c r="M13" s="74"/>
      <c r="N13" s="74"/>
      <c r="O13" s="74"/>
    </row>
    <row r="14" spans="1:15" ht="15" x14ac:dyDescent="0.15">
      <c r="A14" s="84" t="s">
        <v>80</v>
      </c>
      <c r="B14" s="137">
        <f>A2-D19</f>
        <v>0</v>
      </c>
      <c r="C14" s="74"/>
      <c r="D14" s="129">
        <f>ROUNDDOWN(SUM(D15:D16),0)</f>
        <v>0</v>
      </c>
      <c r="E14" s="74"/>
      <c r="F14" s="88"/>
      <c r="G14" s="89"/>
      <c r="H14" s="89"/>
      <c r="I14" s="95"/>
      <c r="J14" s="74"/>
      <c r="K14" s="74"/>
      <c r="L14" s="74"/>
      <c r="M14" s="74"/>
      <c r="N14" s="74"/>
      <c r="O14" s="74"/>
    </row>
    <row r="15" spans="1:15" ht="15" x14ac:dyDescent="0.15">
      <c r="A15" s="84"/>
      <c r="B15" s="74">
        <v>250000</v>
      </c>
      <c r="C15" s="121">
        <f>LOOKUP(A1,B73:O73,B85:O85)</f>
        <v>0.26250000000000001</v>
      </c>
      <c r="D15" s="74">
        <f>IF(B14&gt;B15,B15*C15,B14*C15)</f>
        <v>0</v>
      </c>
      <c r="E15" s="74"/>
      <c r="F15" s="88"/>
      <c r="G15" s="89"/>
      <c r="H15" s="89"/>
      <c r="I15" s="95"/>
      <c r="J15" s="74"/>
      <c r="K15" s="74"/>
      <c r="L15" s="74"/>
      <c r="M15" s="74"/>
      <c r="N15" s="74"/>
      <c r="O15" s="74"/>
    </row>
    <row r="16" spans="1:15" ht="15" x14ac:dyDescent="0.15">
      <c r="A16" s="74"/>
      <c r="B16" s="89"/>
      <c r="C16" s="97">
        <v>0.25</v>
      </c>
      <c r="D16" s="74">
        <f>IF(B14&gt;B15,(B14-B15)*C16,0)</f>
        <v>0</v>
      </c>
      <c r="E16" s="74"/>
      <c r="F16" s="88"/>
      <c r="G16" s="89"/>
      <c r="H16" s="89"/>
      <c r="I16" s="95"/>
      <c r="J16" s="74"/>
      <c r="K16" s="74"/>
      <c r="L16" s="74"/>
      <c r="M16" s="74"/>
      <c r="N16" s="74"/>
      <c r="O16" s="74"/>
    </row>
    <row r="17" spans="1:15" ht="15" x14ac:dyDescent="0.15">
      <c r="A17" s="88"/>
      <c r="B17" s="89"/>
      <c r="C17" s="89"/>
      <c r="D17" s="95"/>
      <c r="E17" s="74"/>
      <c r="F17" s="88"/>
      <c r="G17" s="89"/>
      <c r="H17" s="89"/>
      <c r="I17" s="95"/>
      <c r="J17" s="74"/>
      <c r="K17" s="74"/>
      <c r="L17" s="74"/>
      <c r="M17" s="74"/>
      <c r="N17" s="74"/>
      <c r="O17" s="74"/>
    </row>
    <row r="18" spans="1:15" ht="15" x14ac:dyDescent="0.15">
      <c r="A18" s="84" t="s">
        <v>10</v>
      </c>
      <c r="B18" s="89"/>
      <c r="C18" s="89"/>
      <c r="D18" s="95"/>
      <c r="E18" s="74"/>
      <c r="F18" s="88"/>
      <c r="G18" s="89"/>
      <c r="H18" s="89"/>
      <c r="I18" s="95"/>
      <c r="J18" s="74"/>
      <c r="K18" s="74"/>
      <c r="L18" s="74"/>
      <c r="M18" s="74"/>
      <c r="N18" s="74"/>
      <c r="O18" s="74"/>
    </row>
    <row r="19" spans="1:15" ht="15" x14ac:dyDescent="0.15">
      <c r="A19" s="126">
        <f>'1'!E125</f>
        <v>0</v>
      </c>
      <c r="B19" s="89">
        <f>LOOKUP(A1,B87:O87,B88:O88)</f>
        <v>200000</v>
      </c>
      <c r="C19" s="97">
        <f>LOOKUP(A1,B87:O87,B89:O89)</f>
        <v>0.16500000000000001</v>
      </c>
      <c r="D19" s="94">
        <f>IF(A19&lt;B19,A19*C19,(B19*C19)+((A19-B19)*C20))</f>
        <v>0</v>
      </c>
      <c r="E19" s="74"/>
      <c r="F19" s="88"/>
      <c r="G19" s="89"/>
      <c r="H19" s="89"/>
      <c r="I19" s="95"/>
      <c r="J19" s="74"/>
      <c r="K19" s="74"/>
      <c r="L19" s="74"/>
      <c r="M19" s="74"/>
      <c r="N19" s="74"/>
      <c r="O19" s="74"/>
    </row>
    <row r="20" spans="1:15" ht="15" x14ac:dyDescent="0.15">
      <c r="A20" s="88"/>
      <c r="B20" s="89"/>
      <c r="C20" s="97">
        <f>LOOKUP(A1,B87:O87,B90:O90)</f>
        <v>0.25</v>
      </c>
      <c r="D20" s="95"/>
      <c r="E20" s="74"/>
      <c r="F20" s="88"/>
      <c r="G20" s="89"/>
      <c r="H20" s="89"/>
      <c r="I20" s="95"/>
      <c r="J20" s="74"/>
      <c r="K20" s="74"/>
      <c r="L20" s="74"/>
      <c r="M20" s="74"/>
      <c r="N20" s="74"/>
      <c r="O20" s="74"/>
    </row>
    <row r="21" spans="1:15" x14ac:dyDescent="0.15">
      <c r="A21" s="83" t="s">
        <v>81</v>
      </c>
      <c r="B21" s="74"/>
      <c r="C21" s="74"/>
      <c r="D21" s="74"/>
      <c r="E21" s="74"/>
      <c r="F21" s="82"/>
      <c r="G21" s="77"/>
      <c r="H21" s="74"/>
      <c r="I21" s="74"/>
      <c r="J21" s="74"/>
      <c r="K21" s="74"/>
      <c r="L21" s="74"/>
      <c r="M21" s="74"/>
      <c r="N21" s="74"/>
      <c r="O21" s="74"/>
    </row>
    <row r="22" spans="1:15" x14ac:dyDescent="0.15">
      <c r="A22" s="84" t="s">
        <v>82</v>
      </c>
      <c r="B22" s="85">
        <f>LOOKUP(A1,B73:O73,B92:O92)</f>
        <v>2711</v>
      </c>
      <c r="C22" s="85"/>
      <c r="D22" s="86"/>
      <c r="E22" s="74"/>
      <c r="F22" s="84"/>
      <c r="G22" s="85"/>
      <c r="H22" s="85"/>
      <c r="I22" s="86"/>
      <c r="J22" s="74"/>
      <c r="K22" s="74"/>
      <c r="L22" s="74"/>
      <c r="M22" s="74"/>
      <c r="N22" s="74"/>
      <c r="O22" s="74"/>
    </row>
    <row r="23" spans="1:15" x14ac:dyDescent="0.15">
      <c r="A23" s="88" t="s">
        <v>83</v>
      </c>
      <c r="B23" s="89">
        <f>LOOKUP(A1,B73:O73,B94:O94)</f>
        <v>0</v>
      </c>
      <c r="C23" s="89"/>
      <c r="D23" s="91"/>
      <c r="E23" s="74"/>
      <c r="F23" s="88"/>
      <c r="G23" s="89"/>
      <c r="H23" s="89"/>
      <c r="I23" s="91"/>
      <c r="J23" s="74"/>
      <c r="K23" s="74"/>
      <c r="L23" s="74"/>
      <c r="M23" s="74"/>
      <c r="N23" s="74"/>
      <c r="O23" s="74"/>
    </row>
    <row r="24" spans="1:15" ht="15" x14ac:dyDescent="0.15">
      <c r="A24" s="88" t="s">
        <v>84</v>
      </c>
      <c r="B24" s="89">
        <f>LOOKUP($A$1,$B$73:$O$73,B74:O74)</f>
        <v>20711</v>
      </c>
      <c r="C24" s="89">
        <f>LOOKUP($A$1,$B$73:$O$73,B93:O93)</f>
        <v>5.672E-2</v>
      </c>
      <c r="D24" s="94">
        <f ca="1">MIN(MAX(IF(A3&gt;B24,B22-((A3-B24)*C24),B22),B23),D12)</f>
        <v>0</v>
      </c>
      <c r="E24" s="74"/>
      <c r="F24" s="88"/>
      <c r="G24" s="89"/>
      <c r="H24" s="89"/>
      <c r="I24" s="95"/>
      <c r="J24" s="74"/>
      <c r="K24" s="74"/>
      <c r="L24" s="74"/>
      <c r="M24" s="74"/>
      <c r="N24" s="74"/>
      <c r="O24" s="74"/>
    </row>
    <row r="25" spans="1:15" x14ac:dyDescent="0.15">
      <c r="A25" s="88"/>
      <c r="B25" s="89"/>
      <c r="C25" s="89"/>
      <c r="D25" s="98"/>
      <c r="E25" s="89"/>
      <c r="F25" s="99"/>
      <c r="G25" s="91"/>
      <c r="H25" s="91"/>
      <c r="I25" s="74"/>
      <c r="J25" s="89"/>
      <c r="K25" s="89"/>
      <c r="L25" s="89"/>
      <c r="M25" s="98"/>
      <c r="N25" s="89"/>
      <c r="O25" s="100"/>
    </row>
    <row r="26" spans="1:15" x14ac:dyDescent="0.15">
      <c r="A26" s="88"/>
      <c r="B26" s="89"/>
      <c r="C26" s="89"/>
      <c r="D26" s="98"/>
      <c r="E26" s="89"/>
      <c r="F26" s="99"/>
      <c r="G26" s="91"/>
      <c r="H26" s="91"/>
      <c r="I26" s="74"/>
      <c r="J26" s="89"/>
      <c r="K26" s="89"/>
      <c r="L26" s="89"/>
      <c r="M26" s="98"/>
      <c r="N26" s="89"/>
      <c r="O26" s="100"/>
    </row>
    <row r="27" spans="1:15" x14ac:dyDescent="0.15">
      <c r="A27" s="84" t="s">
        <v>85</v>
      </c>
      <c r="B27" s="91">
        <f>'1'!E127+'1'!E128</f>
        <v>0</v>
      </c>
      <c r="C27" s="89"/>
      <c r="D27" s="89"/>
      <c r="E27" s="89"/>
      <c r="F27" s="92"/>
      <c r="G27" s="89"/>
      <c r="H27" s="89"/>
      <c r="I27" s="89"/>
      <c r="J27" s="74"/>
      <c r="K27" s="89"/>
      <c r="L27" s="89"/>
      <c r="M27" s="89"/>
      <c r="N27" s="89"/>
      <c r="O27" s="89"/>
    </row>
    <row r="28" spans="1:15" x14ac:dyDescent="0.15">
      <c r="A28" s="88" t="s">
        <v>76</v>
      </c>
      <c r="B28" s="74">
        <f>LOOKUP($A$1,$B$96:$O$96,B97:O97)</f>
        <v>9921</v>
      </c>
      <c r="C28" s="74">
        <f>LOOKUP($A$1,$B$96:$O$96,B102:O102)</f>
        <v>2.8119999999999999E-2</v>
      </c>
      <c r="D28" s="91">
        <f>IF(B27&gt;$B28,$B28*$C28,B27*$C28)</f>
        <v>0</v>
      </c>
      <c r="E28" s="74"/>
      <c r="F28" s="92"/>
      <c r="G28" s="74"/>
      <c r="H28" s="74"/>
      <c r="I28" s="91"/>
      <c r="J28" s="74"/>
      <c r="K28" s="74"/>
      <c r="L28" s="74"/>
      <c r="M28" s="74"/>
      <c r="N28" s="74"/>
      <c r="O28" s="74"/>
    </row>
    <row r="29" spans="1:15" x14ac:dyDescent="0.15">
      <c r="A29" s="88" t="s">
        <v>77</v>
      </c>
      <c r="B29" s="74">
        <f>LOOKUP($A$1,$B$96:$O$96,B98:O98)</f>
        <v>21430</v>
      </c>
      <c r="C29" s="74">
        <f>LOOKUP($A$1,$B$96:$O$96,B103:O103)</f>
        <v>0.28811999999999999</v>
      </c>
      <c r="D29" s="91">
        <f>MAX(IF(B27&gt;$B29,($B29-$B28)*$C29,(B27-$B28)*$C29),0)</f>
        <v>0</v>
      </c>
      <c r="E29" s="85"/>
      <c r="F29" s="92"/>
      <c r="G29" s="74"/>
      <c r="H29" s="74"/>
      <c r="I29" s="91"/>
      <c r="J29" s="74"/>
      <c r="K29" s="85"/>
      <c r="L29" s="85"/>
      <c r="M29" s="85"/>
      <c r="N29" s="85"/>
      <c r="O29" s="85"/>
    </row>
    <row r="30" spans="1:15" x14ac:dyDescent="0.15">
      <c r="A30" s="88" t="s">
        <v>78</v>
      </c>
      <c r="B30" s="74">
        <f>LOOKUP($A$1,$B$96:$O$96,B99:O99)</f>
        <v>34954</v>
      </c>
      <c r="C30" s="74">
        <f>LOOKUP($A$1,$B$96:$O$96,B104:O104)</f>
        <v>1.6559999999999998E-2</v>
      </c>
      <c r="D30" s="91">
        <f>MAX(IF(B27&gt;$B30,($B30-$B29)*$C30,(B27-$B29)*$C30),0)</f>
        <v>0</v>
      </c>
      <c r="E30" s="89"/>
      <c r="F30" s="92"/>
      <c r="G30" s="74"/>
      <c r="H30" s="74"/>
      <c r="I30" s="91"/>
      <c r="J30" s="74"/>
      <c r="K30" s="89"/>
      <c r="L30" s="89"/>
      <c r="M30" s="98"/>
      <c r="N30" s="89"/>
      <c r="O30" s="100"/>
    </row>
    <row r="31" spans="1:15" x14ac:dyDescent="0.15">
      <c r="A31" s="88" t="s">
        <v>79</v>
      </c>
      <c r="B31" s="74">
        <f>LOOKUP($A$1,$B$96:$O$96,B100:O100)</f>
        <v>98604</v>
      </c>
      <c r="C31" s="74">
        <f>-1*(LOOKUP($A$1,$B$96:$O$96,B105:O105))</f>
        <v>-0.06</v>
      </c>
      <c r="D31" s="91">
        <f>IF(B27&lt;B30,0,IF(B27&gt;$B31,($B31-$B30)*$C31,(B27-$B30)*$C31))</f>
        <v>0</v>
      </c>
      <c r="E31" s="89"/>
      <c r="F31" s="92"/>
      <c r="G31" s="74"/>
      <c r="H31" s="74"/>
      <c r="I31" s="91"/>
      <c r="J31" s="74"/>
      <c r="K31" s="89"/>
      <c r="L31" s="89"/>
      <c r="M31" s="98"/>
      <c r="N31" s="89"/>
      <c r="O31" s="100"/>
    </row>
    <row r="32" spans="1:15" ht="15" x14ac:dyDescent="0.15">
      <c r="A32" s="88" t="s">
        <v>86</v>
      </c>
      <c r="B32" s="89">
        <f>LOOKUP($A$1,$B$96:$O$96,B107:O107)</f>
        <v>3819</v>
      </c>
      <c r="C32" s="89">
        <f>LOOKUP($A$1,$B$96:$O$96,B108:O108)</f>
        <v>0</v>
      </c>
      <c r="D32" s="94">
        <f>MAX(SUM(D28:D31),C32)</f>
        <v>0</v>
      </c>
      <c r="E32" s="89"/>
      <c r="F32" s="92"/>
      <c r="G32" s="89"/>
      <c r="H32" s="89"/>
      <c r="I32" s="95"/>
      <c r="J32" s="74"/>
      <c r="K32" s="89"/>
      <c r="L32" s="89"/>
      <c r="M32" s="98"/>
      <c r="N32" s="89"/>
      <c r="O32" s="100"/>
    </row>
    <row r="33" spans="1:15" x14ac:dyDescent="0.15">
      <c r="A33" s="88"/>
      <c r="B33" s="89"/>
      <c r="C33" s="89"/>
      <c r="D33" s="91"/>
      <c r="E33" s="89"/>
      <c r="F33" s="99"/>
      <c r="G33" s="91"/>
      <c r="H33" s="91"/>
      <c r="I33" s="74"/>
      <c r="J33" s="89"/>
      <c r="K33" s="89"/>
      <c r="L33" s="89"/>
      <c r="M33" s="98"/>
      <c r="N33" s="89"/>
      <c r="O33" s="100"/>
    </row>
    <row r="34" spans="1:15" x14ac:dyDescent="0.15">
      <c r="A34" s="88" t="s">
        <v>66</v>
      </c>
      <c r="B34" s="101">
        <f>'1'!E8</f>
        <v>0</v>
      </c>
      <c r="C34" s="89"/>
      <c r="D34" s="91"/>
      <c r="E34" s="89"/>
      <c r="F34" s="88"/>
      <c r="G34" s="89"/>
      <c r="H34" s="89"/>
      <c r="I34" s="91"/>
      <c r="J34" s="89"/>
      <c r="K34" s="89"/>
      <c r="L34" s="89"/>
      <c r="M34" s="98"/>
      <c r="N34" s="89"/>
      <c r="O34" s="100"/>
    </row>
    <row r="35" spans="1:15" ht="15" x14ac:dyDescent="0.15">
      <c r="A35" s="84" t="s">
        <v>87</v>
      </c>
      <c r="B35" s="90">
        <f>LOOKUP(A1,B73:O73,B110:O110)</f>
        <v>3.5000000000000003E-2</v>
      </c>
      <c r="C35" s="89">
        <f>IF(MAX(A3-B10,0)&gt;B34,B34,MAX((A3-B10),0))</f>
        <v>0</v>
      </c>
      <c r="D35" s="102">
        <f>ROUNDDOWN(B35*C35,0)</f>
        <v>0</v>
      </c>
      <c r="E35" s="89"/>
      <c r="F35" s="88"/>
      <c r="G35" s="90"/>
      <c r="H35" s="89"/>
      <c r="I35" s="103"/>
      <c r="J35" s="89"/>
      <c r="K35" s="89"/>
      <c r="L35" s="89"/>
      <c r="M35" s="98"/>
      <c r="N35" s="89"/>
      <c r="O35" s="100"/>
    </row>
    <row r="36" spans="1:15" x14ac:dyDescent="0.15">
      <c r="A36" s="88"/>
      <c r="B36" s="89"/>
      <c r="C36" s="89"/>
      <c r="D36" s="98"/>
      <c r="E36" s="89"/>
      <c r="F36" s="100"/>
      <c r="G36" s="91"/>
      <c r="H36" s="91"/>
      <c r="I36" s="74"/>
      <c r="J36" s="89"/>
      <c r="K36" s="89"/>
      <c r="L36" s="89"/>
      <c r="M36" s="98"/>
      <c r="N36" s="89"/>
      <c r="O36" s="100"/>
    </row>
    <row r="37" spans="1:15" ht="15" x14ac:dyDescent="0.15">
      <c r="A37" s="84" t="s">
        <v>88</v>
      </c>
      <c r="B37" s="104" t="b">
        <v>0</v>
      </c>
      <c r="C37" s="89">
        <f>IF(B37,LOOKUP(A1,B129:O129,B130:O130),0)</f>
        <v>0</v>
      </c>
      <c r="D37" s="105">
        <f>MIN(C37,A2)</f>
        <v>0</v>
      </c>
      <c r="E37" s="89"/>
      <c r="F37" s="100"/>
      <c r="G37" s="91"/>
      <c r="H37" s="91"/>
      <c r="I37" s="74"/>
      <c r="J37" s="89"/>
      <c r="K37" s="89"/>
      <c r="L37" s="89"/>
      <c r="M37" s="98"/>
      <c r="N37" s="89"/>
      <c r="O37" s="100"/>
    </row>
    <row r="38" spans="1:15" ht="15" x14ac:dyDescent="0.15">
      <c r="A38" s="84" t="s">
        <v>89</v>
      </c>
      <c r="B38" s="104"/>
      <c r="C38" s="89"/>
      <c r="D38" s="105">
        <f>IF(B38,LOOKUP(A1,B129:O129,B131:O131),0)</f>
        <v>0</v>
      </c>
      <c r="E38" s="89"/>
      <c r="F38" s="100"/>
      <c r="G38" s="91"/>
      <c r="H38" s="91"/>
      <c r="I38" s="74"/>
      <c r="J38" s="89"/>
      <c r="K38" s="89"/>
      <c r="L38" s="89"/>
      <c r="M38" s="98"/>
      <c r="N38" s="89"/>
      <c r="O38" s="100"/>
    </row>
    <row r="39" spans="1:15" ht="15" x14ac:dyDescent="0.15">
      <c r="A39" s="84"/>
      <c r="B39" s="106"/>
      <c r="C39" s="89"/>
      <c r="D39" s="107"/>
      <c r="E39" s="89"/>
      <c r="F39" s="100"/>
      <c r="G39" s="91"/>
      <c r="H39" s="91"/>
      <c r="I39" s="74"/>
      <c r="J39" s="89"/>
      <c r="K39" s="89"/>
      <c r="L39" s="89"/>
      <c r="M39" s="98"/>
      <c r="N39" s="89"/>
      <c r="O39" s="100"/>
    </row>
    <row r="40" spans="1:15" ht="15" x14ac:dyDescent="0.15">
      <c r="A40" s="84" t="s">
        <v>90</v>
      </c>
      <c r="B40" s="108">
        <f>A2-D37-D38-D50</f>
        <v>0</v>
      </c>
      <c r="C40" s="89">
        <f>LOOKUP(A1,B134:O134,B135:O135)</f>
        <v>0.14000000000000001</v>
      </c>
      <c r="D40" s="111">
        <f>ROUNDUP(C40*B40,0)</f>
        <v>0</v>
      </c>
      <c r="E40" s="89"/>
      <c r="F40" s="100"/>
      <c r="G40" s="91"/>
      <c r="H40" s="91"/>
      <c r="I40" s="74"/>
      <c r="J40" s="89"/>
      <c r="K40" s="89"/>
      <c r="L40" s="89"/>
      <c r="M40" s="98"/>
      <c r="N40" s="89"/>
      <c r="O40" s="100"/>
    </row>
    <row r="41" spans="1:15" ht="15" x14ac:dyDescent="0.15">
      <c r="A41" s="88"/>
      <c r="B41" s="106"/>
      <c r="C41" s="89"/>
      <c r="D41" s="107"/>
      <c r="E41" s="89"/>
      <c r="F41" s="100"/>
      <c r="G41" s="91"/>
      <c r="H41" s="91"/>
      <c r="I41" s="74"/>
      <c r="J41" s="89"/>
      <c r="K41" s="89"/>
      <c r="L41" s="89"/>
      <c r="M41" s="98"/>
      <c r="N41" s="89"/>
      <c r="O41" s="100"/>
    </row>
    <row r="42" spans="1:15" x14ac:dyDescent="0.15">
      <c r="A42" s="84" t="s">
        <v>91</v>
      </c>
      <c r="B42" s="89">
        <f>LOOKUP(A1,B113:O113,B114:O114)</f>
        <v>5072</v>
      </c>
      <c r="C42" s="89">
        <f>LOOKUP(A1,B113:O113,B116:O116)</f>
        <v>0.11449999999999999</v>
      </c>
      <c r="D42" s="109">
        <f>ROUNDUP(IF(A3&gt;B42,(C42*(A3-B42))+B43,B43),0)</f>
        <v>0</v>
      </c>
      <c r="E42" s="89"/>
      <c r="F42" s="100"/>
      <c r="G42" s="91"/>
      <c r="H42" s="91"/>
      <c r="I42" s="74"/>
      <c r="J42" s="89"/>
      <c r="K42" s="89"/>
      <c r="L42" s="89"/>
      <c r="M42" s="98"/>
      <c r="N42" s="89"/>
      <c r="O42" s="100"/>
    </row>
    <row r="43" spans="1:15" x14ac:dyDescent="0.15">
      <c r="A43" s="88" t="s">
        <v>92</v>
      </c>
      <c r="B43" s="89">
        <f>LOOKUP($A$1,$B$113:$O$113,B117:O117)</f>
        <v>0</v>
      </c>
      <c r="C43" s="89"/>
      <c r="D43" s="109"/>
      <c r="E43" s="89"/>
      <c r="F43" s="100"/>
      <c r="G43" s="91"/>
      <c r="H43" s="91"/>
      <c r="I43" s="74"/>
      <c r="J43" s="89"/>
      <c r="K43" s="89"/>
      <c r="L43" s="89"/>
      <c r="M43" s="98"/>
      <c r="N43" s="89"/>
      <c r="O43" s="100"/>
    </row>
    <row r="44" spans="1:15" ht="15" x14ac:dyDescent="0.15">
      <c r="A44" s="88" t="s">
        <v>93</v>
      </c>
      <c r="B44" s="89">
        <f>LOOKUP($A$1,$B$113:$O$113,B118:O118)</f>
        <v>2881</v>
      </c>
      <c r="C44" s="89"/>
      <c r="D44" s="102">
        <f>MIN(D42,B44)</f>
        <v>0</v>
      </c>
      <c r="E44" s="89"/>
      <c r="F44" s="100"/>
      <c r="G44" s="91"/>
      <c r="H44" s="91"/>
      <c r="I44" s="74"/>
      <c r="J44" s="89"/>
      <c r="K44" s="89"/>
      <c r="L44" s="89"/>
      <c r="M44" s="98"/>
      <c r="N44" s="89"/>
      <c r="O44" s="100"/>
    </row>
    <row r="45" spans="1:15" x14ac:dyDescent="0.15">
      <c r="A45" s="88"/>
      <c r="B45" s="89"/>
      <c r="C45" s="89"/>
      <c r="D45" s="98"/>
      <c r="E45" s="89"/>
      <c r="F45" s="100"/>
      <c r="G45" s="91"/>
      <c r="H45" s="91"/>
      <c r="I45" s="74"/>
      <c r="J45" s="89"/>
      <c r="K45" s="89"/>
      <c r="L45" s="89"/>
      <c r="M45" s="98"/>
      <c r="N45" s="89"/>
      <c r="O45" s="100"/>
    </row>
    <row r="46" spans="1:15" ht="15" x14ac:dyDescent="0.15">
      <c r="A46" s="84" t="s">
        <v>94</v>
      </c>
      <c r="B46" s="89">
        <f>LOOKUP(A1,B120:O120,B123:O123)</f>
        <v>57232</v>
      </c>
      <c r="C46" s="89">
        <f>LOOKUP(A1,B120:O120,B122:O122)</f>
        <v>5.45E-2</v>
      </c>
      <c r="D46" s="102">
        <f>IF($A$3&gt;B46,B46*C46,A3*C46)</f>
        <v>0</v>
      </c>
      <c r="E46" s="89"/>
      <c r="F46" s="100"/>
      <c r="G46" s="91"/>
      <c r="H46" s="91"/>
      <c r="I46" s="74"/>
      <c r="J46" s="89"/>
      <c r="K46" s="89"/>
      <c r="L46" s="89"/>
      <c r="M46" s="98"/>
      <c r="N46" s="89"/>
      <c r="O46" s="100"/>
    </row>
    <row r="47" spans="1:15" ht="15" x14ac:dyDescent="0.15">
      <c r="A47" s="84" t="s">
        <v>95</v>
      </c>
      <c r="B47" s="89">
        <f>LOOKUP(A1,B120:O120,B123:O123)</f>
        <v>57232</v>
      </c>
      <c r="C47" s="89">
        <f>LOOKUP(A1,B120:O120,B121:O121)</f>
        <v>6.7000000000000004E-2</v>
      </c>
      <c r="D47" s="102">
        <f>IF($A$3&gt;B47,B47*C47,A3*C47)</f>
        <v>0</v>
      </c>
      <c r="E47" s="89"/>
      <c r="F47" s="100"/>
      <c r="G47" s="91"/>
      <c r="H47" s="91"/>
      <c r="I47" s="74"/>
      <c r="J47" s="89"/>
      <c r="K47" s="89"/>
      <c r="L47" s="89"/>
      <c r="M47" s="98"/>
      <c r="N47" s="89"/>
      <c r="O47" s="100"/>
    </row>
    <row r="48" spans="1:15" x14ac:dyDescent="0.15">
      <c r="A48" s="88"/>
      <c r="B48" s="89"/>
      <c r="C48" s="89"/>
      <c r="D48" s="98"/>
      <c r="E48" s="89"/>
      <c r="F48" s="100"/>
      <c r="G48" s="91"/>
      <c r="H48" s="91"/>
      <c r="I48" s="74"/>
      <c r="J48" s="89"/>
      <c r="K48" s="89"/>
      <c r="L48" s="89"/>
      <c r="M48" s="98"/>
      <c r="N48" s="89"/>
      <c r="O48" s="100"/>
    </row>
    <row r="49" spans="1:15" x14ac:dyDescent="0.15">
      <c r="A49" s="84" t="s">
        <v>96</v>
      </c>
      <c r="B49" s="89">
        <f>LOOKUP(A1,B125:O125,B127:O127)</f>
        <v>9218</v>
      </c>
      <c r="C49" s="89">
        <f>LOOKUP(A1,B125:O125,B126:O126)</f>
        <v>9.4399999999999998E-2</v>
      </c>
      <c r="D49" s="133">
        <f>MIN(A2*C49,B49)</f>
        <v>0</v>
      </c>
      <c r="E49" s="89"/>
      <c r="F49" s="100"/>
      <c r="G49" s="91"/>
      <c r="H49" s="91"/>
      <c r="I49" s="74"/>
      <c r="J49" s="89"/>
      <c r="K49" s="89"/>
      <c r="L49" s="89"/>
      <c r="M49" s="98"/>
      <c r="N49" s="89"/>
      <c r="O49" s="100"/>
    </row>
    <row r="50" spans="1:15" ht="15" x14ac:dyDescent="0.15">
      <c r="A50" s="88" t="b">
        <v>0</v>
      </c>
      <c r="B50" s="89">
        <f>B37*A50</f>
        <v>0</v>
      </c>
      <c r="C50" s="89"/>
      <c r="D50" s="102">
        <f>IF(B50=1,D49,0)</f>
        <v>0</v>
      </c>
      <c r="E50" s="89"/>
      <c r="F50" s="100"/>
      <c r="G50" s="91"/>
      <c r="H50" s="91"/>
      <c r="I50" s="74"/>
      <c r="J50" s="89"/>
      <c r="K50" s="89"/>
      <c r="L50" s="89"/>
      <c r="M50" s="98"/>
      <c r="N50" s="89"/>
      <c r="O50" s="100"/>
    </row>
    <row r="51" spans="1:15" x14ac:dyDescent="0.15">
      <c r="A51" s="88"/>
      <c r="B51" s="89"/>
      <c r="C51" s="89"/>
      <c r="D51" s="98"/>
      <c r="E51" s="89"/>
      <c r="F51" s="100"/>
      <c r="G51" s="91"/>
      <c r="H51" s="91"/>
      <c r="I51" s="74"/>
      <c r="J51" s="89"/>
      <c r="K51" s="89"/>
      <c r="L51" s="89"/>
      <c r="M51" s="98"/>
      <c r="N51" s="89"/>
      <c r="O51" s="100"/>
    </row>
    <row r="52" spans="1:15" ht="15" x14ac:dyDescent="0.15">
      <c r="A52" s="84" t="s">
        <v>8</v>
      </c>
      <c r="B52" s="101">
        <f>'1'!E7</f>
        <v>0</v>
      </c>
      <c r="C52" s="89"/>
      <c r="D52" s="94">
        <f>SUM(D53:D57)</f>
        <v>0</v>
      </c>
      <c r="E52" s="89"/>
      <c r="F52" s="100"/>
      <c r="G52" s="91"/>
      <c r="H52" s="91"/>
      <c r="I52" s="74"/>
      <c r="J52" s="89"/>
      <c r="K52" s="89"/>
      <c r="L52" s="89"/>
      <c r="M52" s="98"/>
      <c r="N52" s="89"/>
      <c r="O52" s="100"/>
    </row>
    <row r="53" spans="1:15" x14ac:dyDescent="0.15">
      <c r="A53" s="88" t="s">
        <v>76</v>
      </c>
      <c r="B53" s="89">
        <f>A139</f>
        <v>12500</v>
      </c>
      <c r="C53" s="90">
        <f>LOOKUP($A$1,$B$137:$O$137,B139:O139)</f>
        <v>2E-3</v>
      </c>
      <c r="D53" s="110">
        <f>IF($B$52&lt;B53,0,IF($B$52&lt;B54,$B$52*C53,0))</f>
        <v>0</v>
      </c>
      <c r="E53" s="89"/>
      <c r="F53" s="100"/>
      <c r="G53" s="91"/>
      <c r="H53" s="91"/>
      <c r="I53" s="74"/>
      <c r="J53" s="89"/>
      <c r="K53" s="89"/>
      <c r="L53" s="89"/>
      <c r="M53" s="98"/>
      <c r="N53" s="89"/>
      <c r="O53" s="100"/>
    </row>
    <row r="54" spans="1:15" x14ac:dyDescent="0.15">
      <c r="A54" s="88" t="s">
        <v>77</v>
      </c>
      <c r="B54" s="89">
        <f>A140</f>
        <v>25000</v>
      </c>
      <c r="C54" s="90">
        <f>LOOKUP($A$1,$B$137:$O$137,B140:O140)</f>
        <v>3.5000000000000001E-3</v>
      </c>
      <c r="D54" s="110">
        <f>IF($B$52&lt;B54,0,IF($B$52&lt;B55,$B$52*C54,0))</f>
        <v>0</v>
      </c>
      <c r="E54" s="89"/>
      <c r="F54" s="100"/>
      <c r="G54" s="91"/>
      <c r="H54" s="91"/>
      <c r="I54" s="74"/>
      <c r="J54" s="89"/>
      <c r="K54" s="89"/>
      <c r="L54" s="89"/>
      <c r="M54" s="98"/>
      <c r="N54" s="89"/>
      <c r="O54" s="100"/>
    </row>
    <row r="55" spans="1:15" x14ac:dyDescent="0.15">
      <c r="A55" s="88" t="s">
        <v>78</v>
      </c>
      <c r="B55" s="89">
        <f>A141</f>
        <v>50000</v>
      </c>
      <c r="C55" s="90">
        <f>LOOKUP($A$1,$B$137:$O$137,B141:O141)</f>
        <v>4.4999999999999997E-3</v>
      </c>
      <c r="D55" s="110">
        <f>IF($B$52&lt;B55,0,IF($B$52&lt;B56,$B$52*C55,0))</f>
        <v>0</v>
      </c>
      <c r="E55" s="89"/>
      <c r="F55" s="100"/>
      <c r="G55" s="91"/>
      <c r="H55" s="91"/>
      <c r="I55" s="74"/>
      <c r="J55" s="89"/>
      <c r="K55" s="89"/>
      <c r="L55" s="89"/>
      <c r="M55" s="98"/>
      <c r="N55" s="89"/>
      <c r="O55" s="100"/>
    </row>
    <row r="56" spans="1:15" x14ac:dyDescent="0.15">
      <c r="A56" s="88" t="s">
        <v>79</v>
      </c>
      <c r="B56" s="89">
        <f>A142</f>
        <v>75000</v>
      </c>
      <c r="C56" s="90">
        <f>LOOKUP($A$1,$B$137:$O$137,B142:O142)</f>
        <v>6.0000000000000001E-3</v>
      </c>
      <c r="D56" s="110">
        <f>IF($B$52&lt;B56,0,IF($B$52&lt;B57,$B$52*C56,0))</f>
        <v>0</v>
      </c>
      <c r="E56" s="89"/>
      <c r="F56" s="100"/>
      <c r="G56" s="91"/>
      <c r="H56" s="91"/>
      <c r="I56" s="74"/>
      <c r="J56" s="89"/>
      <c r="K56" s="89"/>
      <c r="L56" s="89"/>
      <c r="M56" s="98"/>
      <c r="N56" s="89"/>
      <c r="O56" s="100"/>
    </row>
    <row r="57" spans="1:15" x14ac:dyDescent="0.15">
      <c r="A57" s="88" t="s">
        <v>97</v>
      </c>
      <c r="B57" s="89">
        <f>A143</f>
        <v>1090000</v>
      </c>
      <c r="C57" s="90">
        <f>LOOKUP($A$1,$B$137:$O$137,B143:O143)</f>
        <v>2.35E-2</v>
      </c>
      <c r="D57" s="110">
        <f>IF($B$52&gt;B57,(C56*B57)+(C57*(B52-B57)),0)</f>
        <v>0</v>
      </c>
      <c r="E57" s="89"/>
      <c r="F57" s="100"/>
      <c r="G57" s="91"/>
      <c r="H57" s="91"/>
      <c r="I57" s="74"/>
      <c r="J57" s="89"/>
      <c r="K57" s="89"/>
      <c r="L57" s="89"/>
      <c r="M57" s="98"/>
      <c r="N57" s="89"/>
      <c r="O57" s="100"/>
    </row>
    <row r="58" spans="1:15" x14ac:dyDescent="0.15">
      <c r="A58" s="88"/>
      <c r="B58" s="89"/>
      <c r="C58" s="89"/>
      <c r="D58" s="98"/>
      <c r="E58" s="89"/>
      <c r="F58" s="100"/>
      <c r="G58" s="91"/>
      <c r="H58" s="91"/>
      <c r="I58" s="74"/>
      <c r="J58" s="89"/>
      <c r="K58" s="89"/>
      <c r="L58" s="89"/>
      <c r="M58" s="98"/>
      <c r="N58" s="89"/>
      <c r="O58" s="100"/>
    </row>
    <row r="59" spans="1:15" ht="15" x14ac:dyDescent="0.15">
      <c r="A59" s="84" t="s">
        <v>21</v>
      </c>
      <c r="B59" s="101">
        <f>'1'!E28</f>
        <v>0</v>
      </c>
      <c r="C59" s="89"/>
      <c r="D59" s="111">
        <f>SUM(D60:D63)</f>
        <v>0</v>
      </c>
      <c r="E59" s="89"/>
      <c r="F59" s="100"/>
      <c r="G59" s="91"/>
      <c r="H59" s="91"/>
      <c r="I59" s="74"/>
      <c r="J59" s="89"/>
      <c r="K59" s="89"/>
      <c r="L59" s="89"/>
      <c r="M59" s="98"/>
      <c r="N59" s="89"/>
      <c r="O59" s="100"/>
    </row>
    <row r="60" spans="1:15" x14ac:dyDescent="0.15">
      <c r="A60" s="88" t="s">
        <v>76</v>
      </c>
      <c r="B60" s="89">
        <v>525</v>
      </c>
      <c r="C60" s="98">
        <v>1.2500000000000001E-2</v>
      </c>
      <c r="D60" s="110">
        <f>IF($B$59&lt;B60,0,IF($B$59&lt;B61,$A$2*C60,0))</f>
        <v>0</v>
      </c>
      <c r="E60" s="89"/>
      <c r="F60" s="100"/>
      <c r="G60" s="91"/>
      <c r="H60" s="91"/>
      <c r="I60" s="74"/>
      <c r="J60" s="89"/>
      <c r="K60" s="89"/>
      <c r="L60" s="89"/>
      <c r="M60" s="98"/>
      <c r="N60" s="89"/>
      <c r="O60" s="100"/>
    </row>
    <row r="61" spans="1:15" x14ac:dyDescent="0.15">
      <c r="A61" s="88" t="s">
        <v>77</v>
      </c>
      <c r="B61" s="89">
        <v>875</v>
      </c>
      <c r="C61" s="97">
        <v>0.02</v>
      </c>
      <c r="D61" s="110">
        <f>IF($B$59&lt;B61,0,IF($B$59&lt;B62,$A$2*C61,0))</f>
        <v>0</v>
      </c>
      <c r="E61" s="89"/>
      <c r="F61" s="100"/>
      <c r="G61" s="91"/>
      <c r="H61" s="91"/>
      <c r="I61" s="74"/>
      <c r="J61" s="89"/>
      <c r="K61" s="89"/>
      <c r="L61" s="89"/>
      <c r="M61" s="98"/>
      <c r="N61" s="89"/>
      <c r="O61" s="100"/>
    </row>
    <row r="62" spans="1:15" x14ac:dyDescent="0.15">
      <c r="A62" s="88" t="s">
        <v>78</v>
      </c>
      <c r="B62" s="89">
        <v>1225</v>
      </c>
      <c r="C62" s="97">
        <v>0.03</v>
      </c>
      <c r="D62" s="110">
        <f>IF($B$59&lt;B62,0,IF($B$59&lt;B63,$A$2*C62,0))</f>
        <v>0</v>
      </c>
      <c r="E62" s="89"/>
      <c r="F62" s="100"/>
      <c r="G62" s="91"/>
      <c r="H62" s="91"/>
      <c r="I62" s="74"/>
      <c r="J62" s="89"/>
      <c r="K62" s="89"/>
      <c r="L62" s="89"/>
      <c r="M62" s="98"/>
      <c r="N62" s="89"/>
      <c r="O62" s="100"/>
    </row>
    <row r="63" spans="1:15" x14ac:dyDescent="0.15">
      <c r="A63" s="88" t="s">
        <v>79</v>
      </c>
      <c r="B63" s="89">
        <v>1750</v>
      </c>
      <c r="C63" s="97">
        <v>0.04</v>
      </c>
      <c r="D63" s="110">
        <f>IF($B$59&lt;B63,0,$A$2*C63)</f>
        <v>0</v>
      </c>
      <c r="E63" s="89"/>
      <c r="F63" s="100"/>
      <c r="G63" s="91"/>
      <c r="H63" s="91"/>
      <c r="I63" s="74"/>
      <c r="J63" s="89"/>
      <c r="K63" s="89"/>
      <c r="L63" s="89"/>
      <c r="M63" s="98"/>
      <c r="N63" s="89"/>
      <c r="O63" s="100"/>
    </row>
    <row r="64" spans="1:15" x14ac:dyDescent="0.15">
      <c r="A64" s="88"/>
      <c r="B64" s="89"/>
      <c r="C64" s="89"/>
      <c r="D64" s="98"/>
      <c r="E64" s="89"/>
      <c r="F64" s="100"/>
      <c r="G64" s="91"/>
      <c r="H64" s="91"/>
      <c r="I64" s="74"/>
      <c r="J64" s="89"/>
      <c r="K64" s="89"/>
      <c r="L64" s="89"/>
      <c r="M64" s="98"/>
      <c r="N64" s="89"/>
      <c r="O64" s="100"/>
    </row>
    <row r="65" spans="1:20" ht="15" x14ac:dyDescent="0.15">
      <c r="A65" s="84"/>
      <c r="B65" s="89"/>
      <c r="C65" s="89"/>
      <c r="D65" s="128"/>
      <c r="E65" s="89"/>
      <c r="F65" s="100"/>
      <c r="G65" s="91"/>
      <c r="H65" s="91"/>
      <c r="I65" s="74"/>
      <c r="J65" s="89"/>
      <c r="K65" s="89"/>
      <c r="L65" s="89"/>
      <c r="M65" s="98"/>
      <c r="N65" s="89"/>
      <c r="O65" s="100"/>
    </row>
    <row r="66" spans="1:20" x14ac:dyDescent="0.15">
      <c r="A66" s="88"/>
      <c r="B66" s="98"/>
      <c r="C66" s="89"/>
      <c r="D66" s="98"/>
      <c r="E66" s="89"/>
      <c r="F66" s="100"/>
      <c r="G66" s="91"/>
      <c r="H66" s="91"/>
      <c r="I66" s="74"/>
      <c r="J66" s="89"/>
      <c r="K66" s="89"/>
      <c r="L66" s="89"/>
      <c r="M66" s="98"/>
      <c r="N66" s="89"/>
      <c r="O66" s="100"/>
    </row>
    <row r="67" spans="1:20" x14ac:dyDescent="0.15">
      <c r="A67" s="88"/>
      <c r="B67" s="110"/>
      <c r="C67" s="89"/>
      <c r="D67" s="98"/>
      <c r="E67" s="89"/>
      <c r="F67" s="100"/>
      <c r="G67" s="91"/>
      <c r="H67" s="91"/>
      <c r="I67" s="74"/>
      <c r="J67" s="89"/>
      <c r="K67" s="89"/>
      <c r="L67" s="89"/>
      <c r="M67" s="98"/>
      <c r="N67" s="89"/>
      <c r="O67" s="100"/>
    </row>
    <row r="68" spans="1:20" x14ac:dyDescent="0.15">
      <c r="A68" s="88"/>
      <c r="B68" s="149"/>
      <c r="C68" s="89"/>
      <c r="D68" s="98"/>
      <c r="E68" s="89"/>
      <c r="F68" s="100"/>
      <c r="G68" s="91"/>
      <c r="H68" s="91"/>
      <c r="I68" s="74"/>
      <c r="J68" s="89"/>
      <c r="K68" s="89"/>
      <c r="L68" s="89"/>
      <c r="M68" s="98"/>
      <c r="N68" s="89"/>
      <c r="O68" s="100"/>
    </row>
    <row r="69" spans="1:20" x14ac:dyDescent="0.15">
      <c r="A69" s="88"/>
      <c r="B69" s="89"/>
      <c r="C69" s="89"/>
      <c r="D69" s="98"/>
      <c r="E69" s="89"/>
      <c r="F69" s="100"/>
      <c r="G69" s="91"/>
      <c r="H69" s="91"/>
      <c r="I69" s="74"/>
      <c r="J69" s="89"/>
      <c r="K69" s="89"/>
      <c r="L69" s="89"/>
      <c r="M69" s="98"/>
      <c r="N69" s="89"/>
      <c r="O69" s="100"/>
    </row>
    <row r="70" spans="1:20" ht="15" x14ac:dyDescent="0.15">
      <c r="A70" s="115" t="s">
        <v>102</v>
      </c>
      <c r="B70" s="89"/>
      <c r="C70" s="89"/>
      <c r="D70" s="89"/>
      <c r="E70" s="89"/>
      <c r="F70" s="89"/>
      <c r="G70" s="116"/>
      <c r="H70" s="116"/>
      <c r="I70" s="74"/>
      <c r="J70" s="89"/>
      <c r="K70" s="89"/>
      <c r="L70" s="89"/>
      <c r="M70" s="89"/>
      <c r="N70" s="89"/>
      <c r="O70" s="89"/>
    </row>
    <row r="71" spans="1:20" x14ac:dyDescent="0.15">
      <c r="A71" s="82"/>
      <c r="B71" s="74"/>
      <c r="C71" s="74"/>
      <c r="D71" s="74"/>
      <c r="E71" s="74"/>
      <c r="F71" s="77"/>
      <c r="G71" s="77"/>
      <c r="H71" s="74"/>
      <c r="I71" s="74"/>
      <c r="J71" s="74"/>
      <c r="K71" s="74"/>
      <c r="L71" s="74"/>
      <c r="M71" s="74"/>
      <c r="N71" s="74"/>
      <c r="O71" s="74"/>
    </row>
    <row r="72" spans="1:20" x14ac:dyDescent="0.15">
      <c r="A72" s="211" t="s">
        <v>29</v>
      </c>
      <c r="B72" s="200"/>
      <c r="C72" s="200"/>
      <c r="D72" s="200"/>
      <c r="E72" s="201"/>
      <c r="F72" s="201"/>
      <c r="G72" s="183"/>
      <c r="H72" s="200"/>
      <c r="I72" s="200"/>
      <c r="J72" s="200"/>
      <c r="K72" s="200"/>
      <c r="L72" s="200"/>
      <c r="M72" s="200"/>
      <c r="N72" s="201"/>
      <c r="O72" s="201"/>
    </row>
    <row r="73" spans="1:20" x14ac:dyDescent="0.15">
      <c r="A73" s="211"/>
      <c r="B73" s="181">
        <v>2012</v>
      </c>
      <c r="C73" s="181">
        <v>2013</v>
      </c>
      <c r="D73" s="181">
        <v>2014</v>
      </c>
      <c r="E73" s="181">
        <v>2015</v>
      </c>
      <c r="F73" s="181">
        <v>2016</v>
      </c>
      <c r="G73" s="181">
        <v>2017</v>
      </c>
      <c r="H73" s="181">
        <v>2018</v>
      </c>
      <c r="I73" s="181">
        <v>2019</v>
      </c>
      <c r="J73" s="181">
        <v>2020</v>
      </c>
      <c r="K73" s="181">
        <v>2021</v>
      </c>
      <c r="L73" s="181">
        <v>2022</v>
      </c>
      <c r="M73" s="181">
        <v>2023</v>
      </c>
      <c r="N73" s="181">
        <v>2024</v>
      </c>
      <c r="O73" s="181">
        <v>2025</v>
      </c>
      <c r="P73"/>
      <c r="Q73"/>
      <c r="R73"/>
      <c r="S73"/>
      <c r="T73"/>
    </row>
    <row r="74" spans="1:20" x14ac:dyDescent="0.15">
      <c r="A74" s="212" t="s">
        <v>103</v>
      </c>
      <c r="B74" s="182">
        <v>18945</v>
      </c>
      <c r="C74" s="182">
        <v>19645</v>
      </c>
      <c r="D74" s="182">
        <v>19645</v>
      </c>
      <c r="E74" s="182">
        <v>19822</v>
      </c>
      <c r="F74" s="182">
        <v>19922</v>
      </c>
      <c r="G74" s="182">
        <v>19982</v>
      </c>
      <c r="H74" s="182">
        <v>20142</v>
      </c>
      <c r="I74" s="182">
        <v>20384</v>
      </c>
      <c r="J74" s="182">
        <v>20711</v>
      </c>
      <c r="K74" s="182">
        <v>20939</v>
      </c>
      <c r="L74" s="182"/>
      <c r="M74" s="182"/>
      <c r="N74" s="182"/>
      <c r="O74" s="182"/>
      <c r="P74"/>
      <c r="Q74"/>
      <c r="R74"/>
      <c r="S74"/>
      <c r="T74"/>
    </row>
    <row r="75" spans="1:20" x14ac:dyDescent="0.15">
      <c r="A75" s="212"/>
      <c r="B75" s="182">
        <f>IF($A$4&lt;1946-1-1,34055,33863)</f>
        <v>33863</v>
      </c>
      <c r="C75" s="182">
        <f>IF($A$4&lt;1946-1-1,33555,33363)</f>
        <v>33363</v>
      </c>
      <c r="D75" s="182">
        <f>IF($A$4&lt;1946-1-1,33555,33363)</f>
        <v>33363</v>
      </c>
      <c r="E75" s="182">
        <f>IF($A$4&lt;1946-1-1,33857,33589)</f>
        <v>33589</v>
      </c>
      <c r="F75" s="182">
        <f>IF($A$4&lt;1946-1-1,34027,33715)</f>
        <v>33715</v>
      </c>
      <c r="G75" s="182">
        <f>IF($A$4&lt;1946-1-1,34130,33791)</f>
        <v>33791</v>
      </c>
      <c r="H75" s="182">
        <f>IF($A$4&lt;1946-1-1,34404,33994)</f>
        <v>33994</v>
      </c>
      <c r="I75" s="182">
        <f>IF($A$4&lt;1946-1-1,34817,34300)</f>
        <v>34300</v>
      </c>
      <c r="J75" s="182">
        <f>IF($A$4&lt;1946-1-1,35375,34712)</f>
        <v>34712</v>
      </c>
      <c r="K75" s="182">
        <f>IF($A$4&lt;1946-1-1,35765,34999)</f>
        <v>34999</v>
      </c>
      <c r="L75" s="182"/>
      <c r="M75" s="182"/>
      <c r="N75" s="182"/>
      <c r="O75" s="182"/>
      <c r="P75"/>
      <c r="Q75"/>
      <c r="R75"/>
      <c r="S75"/>
      <c r="T75"/>
    </row>
    <row r="76" spans="1:20" x14ac:dyDescent="0.15">
      <c r="A76" s="212"/>
      <c r="B76" s="182">
        <v>56491</v>
      </c>
      <c r="C76" s="182">
        <v>55991</v>
      </c>
      <c r="D76" s="182">
        <v>56531</v>
      </c>
      <c r="E76" s="182">
        <v>57585</v>
      </c>
      <c r="F76" s="182">
        <v>66421</v>
      </c>
      <c r="G76" s="182">
        <v>67072</v>
      </c>
      <c r="H76" s="182">
        <v>68507</v>
      </c>
      <c r="I76" s="182">
        <v>68507</v>
      </c>
      <c r="J76" s="182">
        <v>68507</v>
      </c>
      <c r="K76" s="182">
        <v>68507</v>
      </c>
      <c r="L76" s="182"/>
      <c r="M76" s="182"/>
      <c r="N76" s="182"/>
      <c r="O76" s="182"/>
      <c r="P76"/>
      <c r="Q76"/>
      <c r="R76"/>
      <c r="S76"/>
      <c r="T76"/>
    </row>
    <row r="77" spans="1:20" x14ac:dyDescent="0.15">
      <c r="A77" s="212"/>
      <c r="B77" s="183"/>
      <c r="C77" s="183"/>
      <c r="D77" s="183"/>
      <c r="E77" s="183"/>
      <c r="F77" s="183"/>
      <c r="G77" s="183"/>
      <c r="H77" s="183"/>
      <c r="I77" s="183"/>
      <c r="J77" s="183"/>
      <c r="K77" s="183"/>
      <c r="L77" s="183"/>
      <c r="M77" s="183"/>
      <c r="N77" s="183"/>
      <c r="O77" s="183"/>
      <c r="P77"/>
      <c r="Q77"/>
      <c r="R77"/>
      <c r="S77"/>
      <c r="T77"/>
    </row>
    <row r="78" spans="1:20" x14ac:dyDescent="0.15">
      <c r="A78" s="212" t="s">
        <v>104</v>
      </c>
      <c r="B78" s="184">
        <v>17168</v>
      </c>
      <c r="C78" s="185">
        <v>17533</v>
      </c>
      <c r="D78" s="184">
        <v>17868</v>
      </c>
      <c r="E78" s="184">
        <v>18203</v>
      </c>
      <c r="F78" s="184">
        <v>18537</v>
      </c>
      <c r="G78" s="184">
        <v>18810</v>
      </c>
      <c r="H78" s="184">
        <v>19085</v>
      </c>
      <c r="I78" s="184">
        <v>19360</v>
      </c>
      <c r="J78" s="184">
        <v>19603</v>
      </c>
      <c r="K78" s="184">
        <v>19968</v>
      </c>
      <c r="L78" s="184">
        <v>20333</v>
      </c>
      <c r="M78" s="184">
        <v>20729</v>
      </c>
      <c r="N78" s="184">
        <v>20880</v>
      </c>
      <c r="O78" s="184">
        <v>21186</v>
      </c>
      <c r="P78"/>
      <c r="Q78"/>
      <c r="R78"/>
      <c r="S78"/>
      <c r="T78"/>
    </row>
    <row r="79" spans="1:20" x14ac:dyDescent="0.15">
      <c r="A79" s="212" t="s">
        <v>105</v>
      </c>
      <c r="B79" s="183" t="b">
        <f t="shared" ref="B79:O79" si="0">$A$4&lt;B78</f>
        <v>0</v>
      </c>
      <c r="C79" s="183" t="b">
        <f t="shared" si="0"/>
        <v>0</v>
      </c>
      <c r="D79" s="183" t="b">
        <f t="shared" si="0"/>
        <v>0</v>
      </c>
      <c r="E79" s="183" t="b">
        <f t="shared" si="0"/>
        <v>0</v>
      </c>
      <c r="F79" s="183" t="b">
        <f t="shared" si="0"/>
        <v>0</v>
      </c>
      <c r="G79" s="183" t="b">
        <f t="shared" si="0"/>
        <v>0</v>
      </c>
      <c r="H79" s="183" t="b">
        <f t="shared" si="0"/>
        <v>0</v>
      </c>
      <c r="I79" s="183" t="b">
        <f t="shared" si="0"/>
        <v>0</v>
      </c>
      <c r="J79" s="183" t="b">
        <f t="shared" si="0"/>
        <v>0</v>
      </c>
      <c r="K79" s="183" t="b">
        <f t="shared" si="0"/>
        <v>0</v>
      </c>
      <c r="L79" s="183" t="b">
        <f t="shared" si="0"/>
        <v>0</v>
      </c>
      <c r="M79" s="183" t="b">
        <f t="shared" si="0"/>
        <v>0</v>
      </c>
      <c r="N79" s="183" t="b">
        <f t="shared" si="0"/>
        <v>0</v>
      </c>
      <c r="O79" s="183" t="b">
        <f t="shared" si="0"/>
        <v>0</v>
      </c>
      <c r="P79"/>
      <c r="Q79"/>
      <c r="R79"/>
      <c r="S79"/>
      <c r="T79"/>
    </row>
    <row r="80" spans="1:20" x14ac:dyDescent="0.15">
      <c r="A80" s="212" t="s">
        <v>106</v>
      </c>
      <c r="B80" s="186">
        <f>IF(B79=TRUE,15.2%,33.1%)</f>
        <v>0.33100000000000002</v>
      </c>
      <c r="C80" s="186">
        <f>IF(C79=TRUE,19.1%,37%)</f>
        <v>0.37</v>
      </c>
      <c r="D80" s="186">
        <f>IF(D79=TRUE,18.35%,36.25%)</f>
        <v>0.36249999999999999</v>
      </c>
      <c r="E80" s="186">
        <f>IF(E79=TRUE,18.6%,36.5%)</f>
        <v>0.36499999999999999</v>
      </c>
      <c r="F80" s="186">
        <f>IF(F79=TRUE,18.65%,36.55%)</f>
        <v>0.36549999999999999</v>
      </c>
      <c r="G80" s="186">
        <f>IF(G79=TRUE,18.65%,36.55%)</f>
        <v>0.36549999999999999</v>
      </c>
      <c r="H80" s="186">
        <f>IF(H79=TRUE,18.65%,36.55%)</f>
        <v>0.36549999999999999</v>
      </c>
      <c r="I80" s="186">
        <f>IF(I79=TRUE,18.75%,36.65%)</f>
        <v>0.36649999999999999</v>
      </c>
      <c r="J80" s="186">
        <f>IF(J79=TRUE,19.45%,37.35%)</f>
        <v>0.3735</v>
      </c>
      <c r="K80" s="186">
        <f>IF(K79=TRUE,19.2%,37.1%)</f>
        <v>0.371</v>
      </c>
      <c r="L80" s="186"/>
      <c r="M80" s="186"/>
      <c r="N80" s="186"/>
      <c r="O80" s="186"/>
      <c r="P80"/>
      <c r="Q80"/>
      <c r="R80"/>
      <c r="S80"/>
      <c r="T80"/>
    </row>
    <row r="81" spans="1:20" x14ac:dyDescent="0.15">
      <c r="A81" s="212" t="s">
        <v>107</v>
      </c>
      <c r="B81" s="186">
        <f>IF(B79=TRUE,24.05%,41.95%)</f>
        <v>0.41950000000000004</v>
      </c>
      <c r="C81" s="186">
        <f>IF(C79=TRUE,24.1%,42%)</f>
        <v>0.42</v>
      </c>
      <c r="D81" s="186">
        <f>IF(D79=TRUE,24.1%,42%)</f>
        <v>0.42</v>
      </c>
      <c r="E81" s="186">
        <f>IF(E79=TRUE,24.1%,42%)</f>
        <v>0.42</v>
      </c>
      <c r="F81" s="186">
        <f>IF(F79=TRUE,22.5%,40.4%)</f>
        <v>0.40399999999999997</v>
      </c>
      <c r="G81" s="186">
        <f>IF(G79=TRUE,22.9%,40.8%)</f>
        <v>0.40799999999999997</v>
      </c>
      <c r="H81" s="186">
        <f>IF(H79=TRUE,22.95%,40.85%)</f>
        <v>0.40850000000000003</v>
      </c>
      <c r="I81" s="186">
        <f>IF(I79=TRUE,20.2%,38.1%)</f>
        <v>0.38100000000000001</v>
      </c>
      <c r="J81" s="186">
        <f>IF(J79=TRUE,19.45%,37.35%)</f>
        <v>0.3735</v>
      </c>
      <c r="K81" s="186">
        <f>IF(K79=TRUE,19.2%,37.1%)</f>
        <v>0.371</v>
      </c>
      <c r="L81" s="186"/>
      <c r="M81" s="186"/>
      <c r="N81" s="186"/>
      <c r="O81" s="186"/>
      <c r="P81"/>
      <c r="Q81"/>
      <c r="R81"/>
      <c r="S81"/>
      <c r="T81"/>
    </row>
    <row r="82" spans="1:20" x14ac:dyDescent="0.15">
      <c r="A82" s="212" t="s">
        <v>108</v>
      </c>
      <c r="B82" s="186">
        <v>0.42</v>
      </c>
      <c r="C82" s="186">
        <v>0.42</v>
      </c>
      <c r="D82" s="186">
        <v>0.42</v>
      </c>
      <c r="E82" s="186">
        <v>0.42</v>
      </c>
      <c r="F82" s="186">
        <v>0.40400000000000003</v>
      </c>
      <c r="G82" s="186">
        <v>0.40799999999999997</v>
      </c>
      <c r="H82" s="186">
        <v>0.40849999999999997</v>
      </c>
      <c r="I82" s="186">
        <v>0.38100000000000001</v>
      </c>
      <c r="J82" s="186">
        <v>0.3735</v>
      </c>
      <c r="K82" s="186">
        <v>0.371</v>
      </c>
      <c r="L82" s="186"/>
      <c r="M82" s="186"/>
      <c r="N82" s="186"/>
      <c r="O82" s="186"/>
      <c r="P82"/>
      <c r="Q82"/>
      <c r="R82"/>
      <c r="S82"/>
      <c r="T82"/>
    </row>
    <row r="83" spans="1:20" x14ac:dyDescent="0.15">
      <c r="A83" s="212" t="s">
        <v>109</v>
      </c>
      <c r="B83" s="186">
        <v>0.52</v>
      </c>
      <c r="C83" s="186">
        <v>0.52</v>
      </c>
      <c r="D83" s="186">
        <v>0.52</v>
      </c>
      <c r="E83" s="186">
        <v>0.52</v>
      </c>
      <c r="F83" s="186">
        <v>0.52</v>
      </c>
      <c r="G83" s="186">
        <v>0.52</v>
      </c>
      <c r="H83" s="186">
        <v>0.51949999999999996</v>
      </c>
      <c r="I83" s="186">
        <v>0.51749999999999996</v>
      </c>
      <c r="J83" s="186">
        <v>0.495</v>
      </c>
      <c r="K83" s="186">
        <v>0.495</v>
      </c>
      <c r="L83" s="186"/>
      <c r="M83" s="186"/>
      <c r="N83" s="187"/>
      <c r="O83" s="187"/>
      <c r="P83"/>
      <c r="Q83"/>
      <c r="R83"/>
      <c r="S83"/>
      <c r="T83"/>
    </row>
    <row r="84" spans="1:20" x14ac:dyDescent="0.15">
      <c r="A84" s="212"/>
      <c r="B84" s="183"/>
      <c r="C84" s="183"/>
      <c r="D84" s="183"/>
      <c r="E84" s="183"/>
      <c r="F84" s="183"/>
      <c r="G84" s="183"/>
      <c r="H84" s="183"/>
      <c r="I84" s="183"/>
      <c r="J84" s="183"/>
      <c r="K84" s="183"/>
      <c r="L84" s="183"/>
      <c r="M84" s="183"/>
      <c r="N84" s="183"/>
      <c r="O84" s="183"/>
      <c r="P84"/>
      <c r="Q84"/>
      <c r="R84"/>
      <c r="S84"/>
      <c r="T84"/>
    </row>
    <row r="85" spans="1:20" x14ac:dyDescent="0.15">
      <c r="A85" s="212" t="s">
        <v>80</v>
      </c>
      <c r="B85" s="188">
        <v>0.25</v>
      </c>
      <c r="C85" s="188">
        <v>0.25</v>
      </c>
      <c r="D85" s="188">
        <v>0.22</v>
      </c>
      <c r="E85" s="188">
        <v>0.25</v>
      </c>
      <c r="F85" s="188">
        <v>0.25</v>
      </c>
      <c r="G85" s="188">
        <v>0.25</v>
      </c>
      <c r="H85" s="188">
        <v>0.25</v>
      </c>
      <c r="I85" s="188">
        <v>0.25</v>
      </c>
      <c r="J85" s="186">
        <v>0.26250000000000001</v>
      </c>
      <c r="K85" s="186">
        <v>0.26900000000000002</v>
      </c>
      <c r="L85" s="183"/>
      <c r="M85" s="183"/>
      <c r="N85" s="183"/>
      <c r="O85" s="183"/>
      <c r="P85"/>
      <c r="Q85"/>
      <c r="R85"/>
      <c r="S85"/>
      <c r="T85"/>
    </row>
    <row r="86" spans="1:20" x14ac:dyDescent="0.15">
      <c r="A86" s="212"/>
      <c r="B86" s="183"/>
      <c r="C86" s="183"/>
      <c r="D86" s="183"/>
      <c r="E86" s="183"/>
      <c r="F86" s="183"/>
      <c r="G86" s="183"/>
      <c r="H86" s="183"/>
      <c r="I86" s="183"/>
      <c r="J86" s="183"/>
      <c r="K86" s="183"/>
      <c r="L86" s="183"/>
      <c r="M86" s="183"/>
      <c r="N86" s="183"/>
      <c r="O86" s="183"/>
      <c r="P86"/>
      <c r="Q86"/>
      <c r="R86"/>
      <c r="S86"/>
      <c r="T86"/>
    </row>
    <row r="87" spans="1:20" x14ac:dyDescent="0.15">
      <c r="A87" s="211" t="s">
        <v>10</v>
      </c>
      <c r="B87" s="181">
        <v>2012</v>
      </c>
      <c r="C87" s="181">
        <v>2013</v>
      </c>
      <c r="D87" s="181">
        <v>2014</v>
      </c>
      <c r="E87" s="181">
        <v>2015</v>
      </c>
      <c r="F87" s="181">
        <v>2016</v>
      </c>
      <c r="G87" s="181">
        <v>2017</v>
      </c>
      <c r="H87" s="181">
        <v>2018</v>
      </c>
      <c r="I87" s="181">
        <v>2019</v>
      </c>
      <c r="J87" s="181">
        <v>2020</v>
      </c>
      <c r="K87" s="181">
        <v>2021</v>
      </c>
      <c r="L87" s="181">
        <v>2022</v>
      </c>
      <c r="M87" s="181">
        <v>2023</v>
      </c>
      <c r="N87" s="181">
        <v>2024</v>
      </c>
      <c r="O87" s="181">
        <v>2025</v>
      </c>
      <c r="P87"/>
      <c r="Q87"/>
      <c r="R87"/>
      <c r="S87"/>
      <c r="T87"/>
    </row>
    <row r="88" spans="1:20" x14ac:dyDescent="0.15">
      <c r="A88" s="212" t="s">
        <v>110</v>
      </c>
      <c r="B88" s="183">
        <v>200000</v>
      </c>
      <c r="C88" s="183">
        <v>200000</v>
      </c>
      <c r="D88" s="183">
        <v>200000</v>
      </c>
      <c r="E88" s="183">
        <v>200000</v>
      </c>
      <c r="F88" s="183">
        <v>200000</v>
      </c>
      <c r="G88" s="183">
        <v>200000</v>
      </c>
      <c r="H88" s="183">
        <v>200000</v>
      </c>
      <c r="I88" s="183">
        <v>200000</v>
      </c>
      <c r="J88" s="183">
        <v>200000</v>
      </c>
      <c r="K88" s="183">
        <v>200000</v>
      </c>
      <c r="L88" s="183"/>
      <c r="M88" s="183"/>
      <c r="N88" s="183"/>
      <c r="O88" s="183"/>
      <c r="P88"/>
      <c r="Q88"/>
      <c r="R88"/>
      <c r="S88"/>
      <c r="T88"/>
    </row>
    <row r="89" spans="1:20" x14ac:dyDescent="0.15">
      <c r="A89" s="212" t="s">
        <v>111</v>
      </c>
      <c r="B89" s="188">
        <v>0.2</v>
      </c>
      <c r="C89" s="188">
        <v>0.2</v>
      </c>
      <c r="D89" s="188">
        <v>0.2</v>
      </c>
      <c r="E89" s="188">
        <v>0.2</v>
      </c>
      <c r="F89" s="188">
        <v>0.2</v>
      </c>
      <c r="G89" s="188">
        <v>0.2</v>
      </c>
      <c r="H89" s="188">
        <v>0.2</v>
      </c>
      <c r="I89" s="189">
        <v>0.19</v>
      </c>
      <c r="J89" s="189">
        <v>0.16500000000000001</v>
      </c>
      <c r="K89" s="189">
        <v>0.15</v>
      </c>
      <c r="L89" s="188"/>
      <c r="M89" s="188"/>
      <c r="N89" s="188"/>
      <c r="O89" s="188"/>
      <c r="P89"/>
      <c r="Q89"/>
      <c r="R89"/>
      <c r="S89"/>
      <c r="T89"/>
    </row>
    <row r="90" spans="1:20" x14ac:dyDescent="0.15">
      <c r="A90" s="212" t="s">
        <v>112</v>
      </c>
      <c r="B90" s="188">
        <v>0.25</v>
      </c>
      <c r="C90" s="188">
        <v>0.25</v>
      </c>
      <c r="D90" s="188">
        <v>0.25</v>
      </c>
      <c r="E90" s="188">
        <v>0.25</v>
      </c>
      <c r="F90" s="188">
        <v>0.25</v>
      </c>
      <c r="G90" s="188">
        <v>0.25</v>
      </c>
      <c r="H90" s="188">
        <v>0.25</v>
      </c>
      <c r="I90" s="189">
        <v>0.25</v>
      </c>
      <c r="J90" s="189">
        <v>0.25</v>
      </c>
      <c r="K90" s="189">
        <v>0.217</v>
      </c>
      <c r="L90" s="188"/>
      <c r="M90" s="188"/>
      <c r="N90" s="188"/>
      <c r="O90" s="188"/>
      <c r="P90"/>
      <c r="Q90"/>
      <c r="R90"/>
      <c r="S90"/>
      <c r="T90"/>
    </row>
    <row r="91" spans="1:20" x14ac:dyDescent="0.15">
      <c r="A91" s="212"/>
      <c r="B91" s="183"/>
      <c r="C91" s="183"/>
      <c r="D91" s="183"/>
      <c r="E91" s="183"/>
      <c r="F91" s="183"/>
      <c r="G91" s="183"/>
      <c r="H91" s="183"/>
      <c r="I91" s="183"/>
      <c r="J91" s="183"/>
      <c r="K91" s="183"/>
      <c r="L91" s="183"/>
      <c r="M91" s="183"/>
      <c r="N91" s="183"/>
      <c r="O91" s="183"/>
      <c r="P91"/>
      <c r="Q91"/>
      <c r="R91"/>
      <c r="S91"/>
      <c r="T91"/>
    </row>
    <row r="92" spans="1:20" x14ac:dyDescent="0.15">
      <c r="A92" s="211" t="s">
        <v>113</v>
      </c>
      <c r="B92" s="190">
        <f>IF(B79=TRUE,934,2001)</f>
        <v>2001</v>
      </c>
      <c r="C92" s="190">
        <f>IF(C79=TRUE,1034,2033)</f>
        <v>2033</v>
      </c>
      <c r="D92" s="190">
        <f>IF(D79=TRUE,1065,2103)</f>
        <v>2103</v>
      </c>
      <c r="E92" s="190">
        <f>IF(E79=TRUE,1123,2203)</f>
        <v>2203</v>
      </c>
      <c r="F92" s="190">
        <f>IF(F79=TRUE,1145,2242)</f>
        <v>2242</v>
      </c>
      <c r="G92" s="190">
        <f>IF(G79=TRUE,1151,2254)</f>
        <v>2254</v>
      </c>
      <c r="H92" s="190">
        <f>IF(H79=TRUE,1157,2265)</f>
        <v>2265</v>
      </c>
      <c r="I92" s="190">
        <f>IF(I79=TRUE,1268,2477)</f>
        <v>2477</v>
      </c>
      <c r="J92" s="190">
        <f>IF(J79=TRUE,1413,2711)</f>
        <v>2711</v>
      </c>
      <c r="K92" s="190">
        <f>IF(K79=TRUE,1453,2801)</f>
        <v>2801</v>
      </c>
      <c r="L92" s="190"/>
      <c r="M92" s="190"/>
      <c r="N92" s="191"/>
      <c r="O92" s="191"/>
      <c r="P92"/>
      <c r="Q92"/>
      <c r="R92"/>
      <c r="S92"/>
      <c r="T92"/>
    </row>
    <row r="93" spans="1:20" x14ac:dyDescent="0.15">
      <c r="A93" s="212" t="s">
        <v>114</v>
      </c>
      <c r="B93" s="192">
        <v>0</v>
      </c>
      <c r="C93" s="192">
        <v>0</v>
      </c>
      <c r="D93" s="193">
        <f>IF(D79=TRUE,2%,2%)</f>
        <v>0.02</v>
      </c>
      <c r="E93" s="193">
        <f>IF(E79=TRUE,1.183%,2.32%)</f>
        <v>2.3199999999999998E-2</v>
      </c>
      <c r="F93" s="193">
        <f>IF(F79=TRUE,2.46%,4.822%)</f>
        <v>4.8219999999999999E-2</v>
      </c>
      <c r="G93" s="193">
        <f>IF(G79=TRUE,2.443%,4.787%)</f>
        <v>4.7869999999999996E-2</v>
      </c>
      <c r="H93" s="193">
        <f>IF(H79=TRUE,2.389%,4.683%)</f>
        <v>4.6829999999999997E-2</v>
      </c>
      <c r="I93" s="193">
        <f>IF(I79=TRUE,2.633%,5.147%)</f>
        <v>5.1470000000000002E-2</v>
      </c>
      <c r="J93" s="193">
        <f>IF(J79=TRUE,2.954%,5.672%)</f>
        <v>5.672E-2</v>
      </c>
      <c r="K93" s="193">
        <f>IF(K79=TRUE,3.054%,5.888%)</f>
        <v>5.8880000000000002E-2</v>
      </c>
      <c r="L93" s="186"/>
      <c r="M93" s="186"/>
      <c r="N93" s="186"/>
      <c r="O93" s="186"/>
      <c r="P93"/>
      <c r="Q93"/>
      <c r="R93"/>
      <c r="S93"/>
      <c r="T93"/>
    </row>
    <row r="94" spans="1:20" x14ac:dyDescent="0.15">
      <c r="A94" s="212" t="s">
        <v>115</v>
      </c>
      <c r="B94" s="194">
        <f>B92</f>
        <v>2001</v>
      </c>
      <c r="C94" s="194">
        <f>C92</f>
        <v>2033</v>
      </c>
      <c r="D94" s="195">
        <f>IF(D79=TRUE,693,1366)</f>
        <v>1366</v>
      </c>
      <c r="E94" s="195">
        <f>IF(E79=TRUE,685,1342)</f>
        <v>1342</v>
      </c>
      <c r="F94" s="195">
        <v>0</v>
      </c>
      <c r="G94" s="195">
        <v>0</v>
      </c>
      <c r="H94" s="195">
        <v>0</v>
      </c>
      <c r="I94" s="195">
        <v>0</v>
      </c>
      <c r="J94" s="195">
        <v>0</v>
      </c>
      <c r="K94" s="195">
        <v>0</v>
      </c>
      <c r="L94" s="194"/>
      <c r="M94" s="194"/>
      <c r="N94" s="194"/>
      <c r="O94" s="194"/>
      <c r="P94"/>
      <c r="Q94"/>
      <c r="R94"/>
      <c r="S94"/>
      <c r="T94"/>
    </row>
    <row r="95" spans="1:20" x14ac:dyDescent="0.15">
      <c r="A95" s="212"/>
      <c r="B95" s="186"/>
      <c r="C95" s="183"/>
      <c r="D95" s="196"/>
      <c r="E95" s="197"/>
      <c r="F95" s="197"/>
      <c r="G95" s="183"/>
      <c r="H95" s="183"/>
      <c r="I95" s="183"/>
      <c r="J95" s="183"/>
      <c r="K95" s="186"/>
      <c r="L95" s="183"/>
      <c r="M95" s="196"/>
      <c r="N95" s="197"/>
      <c r="O95" s="197"/>
      <c r="P95"/>
      <c r="Q95"/>
      <c r="R95"/>
      <c r="S95"/>
      <c r="T95"/>
    </row>
    <row r="96" spans="1:20" x14ac:dyDescent="0.15">
      <c r="A96" s="211" t="s">
        <v>64</v>
      </c>
      <c r="B96" s="181">
        <v>2012</v>
      </c>
      <c r="C96" s="181">
        <v>2013</v>
      </c>
      <c r="D96" s="181">
        <v>2014</v>
      </c>
      <c r="E96" s="181">
        <v>2015</v>
      </c>
      <c r="F96" s="181">
        <v>2016</v>
      </c>
      <c r="G96" s="181">
        <v>2017</v>
      </c>
      <c r="H96" s="181">
        <v>2018</v>
      </c>
      <c r="I96" s="181">
        <v>2019</v>
      </c>
      <c r="J96" s="181">
        <v>2020</v>
      </c>
      <c r="K96" s="181">
        <v>2021</v>
      </c>
      <c r="L96" s="181">
        <v>2022</v>
      </c>
      <c r="M96" s="181">
        <v>2023</v>
      </c>
      <c r="N96" s="181">
        <v>2024</v>
      </c>
      <c r="O96" s="181">
        <v>2025</v>
      </c>
      <c r="P96"/>
      <c r="Q96"/>
      <c r="R96"/>
      <c r="S96"/>
      <c r="T96"/>
    </row>
    <row r="97" spans="1:20" x14ac:dyDescent="0.15">
      <c r="A97" s="212" t="s">
        <v>76</v>
      </c>
      <c r="B97" s="194">
        <v>9295</v>
      </c>
      <c r="C97" s="194">
        <v>8816</v>
      </c>
      <c r="D97" s="194">
        <v>8913</v>
      </c>
      <c r="E97" s="198">
        <v>9010</v>
      </c>
      <c r="F97" s="198">
        <v>9147</v>
      </c>
      <c r="G97" s="194">
        <v>9309</v>
      </c>
      <c r="H97" s="194">
        <v>9468</v>
      </c>
      <c r="I97" s="194">
        <v>9694</v>
      </c>
      <c r="J97" s="194">
        <v>9921</v>
      </c>
      <c r="K97" s="199">
        <v>9922</v>
      </c>
      <c r="L97" s="194"/>
      <c r="M97" s="194"/>
      <c r="N97" s="198"/>
      <c r="O97" s="198"/>
      <c r="P97"/>
      <c r="Q97"/>
      <c r="R97"/>
      <c r="S97"/>
      <c r="T97"/>
    </row>
    <row r="98" spans="1:20" x14ac:dyDescent="0.15">
      <c r="A98" s="212" t="s">
        <v>77</v>
      </c>
      <c r="B98" s="194">
        <v>21059</v>
      </c>
      <c r="C98" s="194">
        <v>18502</v>
      </c>
      <c r="D98" s="194">
        <v>19248</v>
      </c>
      <c r="E98" s="194">
        <v>19463</v>
      </c>
      <c r="F98" s="194">
        <v>19758</v>
      </c>
      <c r="G98" s="194">
        <v>20108</v>
      </c>
      <c r="H98" s="194">
        <v>20450</v>
      </c>
      <c r="I98" s="194">
        <v>20940</v>
      </c>
      <c r="J98" s="194">
        <v>21430</v>
      </c>
      <c r="K98" s="199">
        <f>K74</f>
        <v>20939</v>
      </c>
      <c r="L98" s="194">
        <f t="shared" ref="L98:O98" si="1">L74</f>
        <v>0</v>
      </c>
      <c r="M98" s="194">
        <f t="shared" si="1"/>
        <v>0</v>
      </c>
      <c r="N98" s="194">
        <f t="shared" si="1"/>
        <v>0</v>
      </c>
      <c r="O98" s="194">
        <f t="shared" si="1"/>
        <v>0</v>
      </c>
      <c r="P98"/>
      <c r="Q98"/>
      <c r="R98"/>
      <c r="S98"/>
      <c r="T98"/>
    </row>
    <row r="99" spans="1:20" x14ac:dyDescent="0.15">
      <c r="A99" s="212" t="s">
        <v>78</v>
      </c>
      <c r="B99" s="190">
        <v>45181</v>
      </c>
      <c r="C99" s="190">
        <v>40248</v>
      </c>
      <c r="D99" s="190">
        <v>40721</v>
      </c>
      <c r="E99" s="191">
        <v>49770</v>
      </c>
      <c r="F99" s="191">
        <v>34015</v>
      </c>
      <c r="G99" s="194">
        <v>32444</v>
      </c>
      <c r="H99" s="190">
        <v>33112</v>
      </c>
      <c r="I99" s="190">
        <v>34060</v>
      </c>
      <c r="J99" s="190">
        <v>34954</v>
      </c>
      <c r="K99" s="213">
        <v>34955</v>
      </c>
      <c r="L99" s="190"/>
      <c r="M99" s="190"/>
      <c r="N99" s="191"/>
      <c r="O99" s="191"/>
      <c r="P99"/>
      <c r="Q99"/>
      <c r="R99"/>
      <c r="S99"/>
      <c r="T99"/>
    </row>
    <row r="100" spans="1:20" x14ac:dyDescent="0.15">
      <c r="A100" s="212" t="s">
        <v>79</v>
      </c>
      <c r="B100" s="194">
        <v>514.17999999999995</v>
      </c>
      <c r="C100" s="194">
        <v>69573</v>
      </c>
      <c r="D100" s="194">
        <v>83971</v>
      </c>
      <c r="E100" s="194">
        <v>100670</v>
      </c>
      <c r="F100" s="194">
        <v>111590</v>
      </c>
      <c r="G100" s="194">
        <v>121972</v>
      </c>
      <c r="H100" s="194">
        <v>123362</v>
      </c>
      <c r="I100" s="194">
        <v>90710</v>
      </c>
      <c r="J100" s="194">
        <f>(J107/J105)+J99</f>
        <v>98604</v>
      </c>
      <c r="K100" s="199">
        <f>(K107/K105)+K99</f>
        <v>104005</v>
      </c>
      <c r="L100" s="194"/>
      <c r="M100" s="194"/>
      <c r="N100" s="194"/>
      <c r="O100" s="194"/>
      <c r="P100"/>
      <c r="Q100"/>
      <c r="R100"/>
      <c r="S100"/>
      <c r="T100"/>
    </row>
    <row r="101" spans="1:20" x14ac:dyDescent="0.15">
      <c r="A101" s="212"/>
      <c r="B101" s="183"/>
      <c r="C101" s="183"/>
      <c r="D101" s="186"/>
      <c r="E101" s="183"/>
      <c r="F101" s="196"/>
      <c r="G101" s="197"/>
      <c r="H101" s="197"/>
      <c r="I101" s="183"/>
      <c r="J101" s="183"/>
      <c r="K101" s="183"/>
      <c r="L101" s="183"/>
      <c r="M101" s="186"/>
      <c r="N101" s="183"/>
      <c r="O101" s="196"/>
      <c r="P101"/>
      <c r="Q101"/>
      <c r="R101"/>
      <c r="S101"/>
      <c r="T101"/>
    </row>
    <row r="102" spans="1:20" x14ac:dyDescent="0.15">
      <c r="A102" s="212" t="s">
        <v>106</v>
      </c>
      <c r="B102" s="183">
        <f>IF(B79=TRUE,0.796%,1.733%)</f>
        <v>1.7330000000000002E-2</v>
      </c>
      <c r="C102" s="183">
        <f>IF(C79=TRUE,0.943%,1.827%)</f>
        <v>1.8269999999999998E-2</v>
      </c>
      <c r="D102" s="183">
        <f>IF(D79=TRUE,0.915%,1.807%)</f>
        <v>1.8069999999999999E-2</v>
      </c>
      <c r="E102" s="183">
        <f>IF(E79=TRUE,0.922%,1.81%)</f>
        <v>1.8100000000000002E-2</v>
      </c>
      <c r="F102" s="183">
        <f>IF(F79=TRUE,0.915%,1.793%)</f>
        <v>1.7929999999999998E-2</v>
      </c>
      <c r="G102" s="183">
        <f>IF(G79=TRUE,0.904%,1.772%)</f>
        <v>1.772E-2</v>
      </c>
      <c r="H102" s="183">
        <f>IF(H79=TRUE,0.901%,1.764%)</f>
        <v>1.7639999999999999E-2</v>
      </c>
      <c r="I102" s="183">
        <f>IF(I79=TRUE,0.898%,1.754%)</f>
        <v>1.754E-2</v>
      </c>
      <c r="J102" s="183">
        <f>IF(J79=TRUE,1.464%,2.812%)</f>
        <v>2.8119999999999999E-2</v>
      </c>
      <c r="K102" s="96">
        <f>IF(K79=TRUE,1.464%,2.812%)</f>
        <v>2.8119999999999999E-2</v>
      </c>
      <c r="L102" s="183"/>
      <c r="M102" s="186"/>
      <c r="N102" s="183"/>
      <c r="O102" s="196"/>
      <c r="P102"/>
      <c r="Q102"/>
      <c r="R102"/>
      <c r="S102"/>
      <c r="T102"/>
    </row>
    <row r="103" spans="1:20" x14ac:dyDescent="0.15">
      <c r="A103" s="212" t="s">
        <v>107</v>
      </c>
      <c r="B103" s="183">
        <f>IF(B79=TRUE,5.657%,12.32%)</f>
        <v>0.1232</v>
      </c>
      <c r="C103" s="183">
        <f>IF(C79=TRUE,8.319%,16.115%)</f>
        <v>0.16114999999999999</v>
      </c>
      <c r="D103" s="183">
        <f>IF(D79=TRUE,9.479%,18.724%)</f>
        <v>0.18723999999999999</v>
      </c>
      <c r="E103" s="183">
        <f>IF(E79=TRUE,10.028%,19.679%)</f>
        <v>0.19678999999999999</v>
      </c>
      <c r="F103" s="183">
        <f>IF(F79=TRUE,14.133%,27.698%)</f>
        <v>0.27698</v>
      </c>
      <c r="G103" s="183">
        <f>IF(G79=TRUE,14.449%,28.317%)</f>
        <v>0.28316999999999998</v>
      </c>
      <c r="H103" s="183">
        <f>IF(H79=TRUE,14.32%,28.064%)</f>
        <v>0.28064</v>
      </c>
      <c r="I103" s="183">
        <f>IF(I79=TRUE,14.689%,28.712%)</f>
        <v>0.28711999999999999</v>
      </c>
      <c r="J103" s="183">
        <f>IF(J79=TRUE,15.004%,28.812%)</f>
        <v>0.28811999999999999</v>
      </c>
      <c r="K103" s="96">
        <f>IF(K79=TRUE,15.004%,28.812%)</f>
        <v>0.28811999999999999</v>
      </c>
      <c r="L103" s="183"/>
      <c r="M103" s="186"/>
      <c r="N103" s="183"/>
      <c r="O103" s="196"/>
      <c r="P103"/>
      <c r="Q103"/>
      <c r="R103"/>
      <c r="S103"/>
      <c r="T103"/>
    </row>
    <row r="104" spans="1:20" x14ac:dyDescent="0.15">
      <c r="A104" s="212" t="s">
        <v>108</v>
      </c>
      <c r="B104" s="183">
        <v>0</v>
      </c>
      <c r="C104" s="183">
        <v>0</v>
      </c>
      <c r="D104" s="183">
        <v>0</v>
      </c>
      <c r="E104" s="183">
        <v>0</v>
      </c>
      <c r="F104" s="183">
        <v>0</v>
      </c>
      <c r="G104" s="183">
        <v>0</v>
      </c>
      <c r="H104" s="183">
        <v>0</v>
      </c>
      <c r="I104" s="183">
        <v>0</v>
      </c>
      <c r="J104" s="183">
        <f>IF(J79=TRUE,0.862%,1.656%)</f>
        <v>1.6559999999999998E-2</v>
      </c>
      <c r="K104" s="96">
        <f>IF(K79=TRUE,0.862%,1.656%)</f>
        <v>1.6559999999999998E-2</v>
      </c>
      <c r="L104" s="183"/>
      <c r="M104" s="183"/>
      <c r="N104" s="183"/>
      <c r="O104" s="183"/>
      <c r="P104"/>
      <c r="Q104"/>
      <c r="R104"/>
      <c r="S104"/>
      <c r="T104"/>
    </row>
    <row r="105" spans="1:20" x14ac:dyDescent="0.15">
      <c r="A105" s="212" t="s">
        <v>109</v>
      </c>
      <c r="B105" s="183">
        <f>IF(B79=TRUE,0.574%,1.25%)</f>
        <v>1.2500000000000001E-2</v>
      </c>
      <c r="C105" s="183">
        <f>IF(C79=TRUE,2.064%,4%)</f>
        <v>0.04</v>
      </c>
      <c r="D105" s="183">
        <f>IF(D79=TRUE,2.025%,4%)</f>
        <v>0.04</v>
      </c>
      <c r="E105" s="183">
        <f>IF(E79=TRUE,2.038%,4%)</f>
        <v>0.04</v>
      </c>
      <c r="F105" s="183">
        <f>IF(F79=TRUE,2.041%,4%)</f>
        <v>0.04</v>
      </c>
      <c r="G105" s="183">
        <f>IF(G79=TRUE,1.837%,3.6%)</f>
        <v>3.6000000000000004E-2</v>
      </c>
      <c r="H105" s="183">
        <f>IF(H79=TRUE,1.837%,3.6%)</f>
        <v>3.6000000000000004E-2</v>
      </c>
      <c r="I105" s="183">
        <f>IF(I79=TRUE,3.069%,6%)</f>
        <v>0.06</v>
      </c>
      <c r="J105" s="183">
        <f>IF(J79=TRUE,3.124%,6%)</f>
        <v>0.06</v>
      </c>
      <c r="K105" s="96">
        <f>IF(K79=TRUE,3.124%,6%)</f>
        <v>0.06</v>
      </c>
      <c r="L105" s="183"/>
      <c r="M105" s="183"/>
      <c r="N105" s="183"/>
      <c r="O105" s="183"/>
      <c r="P105"/>
      <c r="Q105"/>
      <c r="R105"/>
      <c r="S105"/>
      <c r="T105"/>
    </row>
    <row r="106" spans="1:20" x14ac:dyDescent="0.15">
      <c r="A106" s="211"/>
      <c r="B106" s="200"/>
      <c r="C106" s="200"/>
      <c r="D106" s="200"/>
      <c r="E106" s="200"/>
      <c r="F106" s="200"/>
      <c r="G106" s="201"/>
      <c r="H106" s="201"/>
      <c r="I106" s="183"/>
      <c r="J106" s="200"/>
      <c r="K106" s="200"/>
      <c r="L106" s="200"/>
      <c r="M106" s="200"/>
      <c r="N106" s="200"/>
      <c r="O106" s="200"/>
      <c r="P106"/>
      <c r="Q106"/>
      <c r="R106"/>
      <c r="S106"/>
      <c r="T106"/>
    </row>
    <row r="107" spans="1:20" x14ac:dyDescent="0.15">
      <c r="A107" s="212" t="s">
        <v>116</v>
      </c>
      <c r="B107" s="183">
        <f>IF(B79=TRUE,740,1611)</f>
        <v>1611</v>
      </c>
      <c r="C107" s="183">
        <f>IF(C79=TRUE,890,1723)</f>
        <v>1723</v>
      </c>
      <c r="D107" s="183">
        <f>IF(D79=TRUE,1062,2097)</f>
        <v>2097</v>
      </c>
      <c r="E107" s="183">
        <f>IF(E79=TRUE,1132,2220)</f>
        <v>2220</v>
      </c>
      <c r="F107" s="183">
        <f>IF(F79=TRUE,1585,3103)</f>
        <v>3103</v>
      </c>
      <c r="G107" s="183">
        <f>IF(G79=TRUE,1645,3223)</f>
        <v>3223</v>
      </c>
      <c r="H107" s="183">
        <f>IF(H79=TRUE,1659,3249)</f>
        <v>3249</v>
      </c>
      <c r="I107" s="183">
        <f>IF(I79=TRUE,1745,3399)</f>
        <v>3399</v>
      </c>
      <c r="J107" s="183">
        <f>IF(J79=TRUE,1989,3819)</f>
        <v>3819</v>
      </c>
      <c r="K107" s="183">
        <f>IF(K79=TRUE,2147,4143)</f>
        <v>4143</v>
      </c>
      <c r="L107" s="183"/>
      <c r="M107" s="186"/>
      <c r="N107" s="183"/>
      <c r="O107" s="196"/>
      <c r="P107"/>
      <c r="Q107"/>
      <c r="R107"/>
      <c r="S107"/>
      <c r="T107"/>
    </row>
    <row r="108" spans="1:20" x14ac:dyDescent="0.15">
      <c r="A108" s="212" t="s">
        <v>117</v>
      </c>
      <c r="B108" s="183">
        <f>IF(B79=TRUE,704,740)</f>
        <v>740</v>
      </c>
      <c r="C108" s="183">
        <f>IF(C79=TRUE,284,550)</f>
        <v>550</v>
      </c>
      <c r="D108" s="183">
        <f>IF(D79=TRUE,186,367)</f>
        <v>367</v>
      </c>
      <c r="E108" s="183">
        <f>IF(E79=TRUE,94,184)</f>
        <v>184</v>
      </c>
      <c r="F108" s="183">
        <v>0</v>
      </c>
      <c r="G108" s="183">
        <v>0</v>
      </c>
      <c r="H108" s="183">
        <v>0</v>
      </c>
      <c r="I108" s="183">
        <v>0</v>
      </c>
      <c r="J108" s="183">
        <v>0</v>
      </c>
      <c r="K108" s="183">
        <v>0</v>
      </c>
      <c r="L108" s="183"/>
      <c r="M108" s="186"/>
      <c r="N108" s="183"/>
      <c r="O108" s="196"/>
      <c r="P108"/>
      <c r="Q108"/>
      <c r="R108"/>
      <c r="S108"/>
      <c r="T108"/>
    </row>
    <row r="109" spans="1:20" x14ac:dyDescent="0.15">
      <c r="A109" s="212"/>
      <c r="B109" s="183"/>
      <c r="C109" s="183"/>
      <c r="D109" s="186"/>
      <c r="E109" s="183"/>
      <c r="F109" s="196"/>
      <c r="G109" s="197"/>
      <c r="H109" s="197"/>
      <c r="I109" s="183"/>
      <c r="J109" s="183"/>
      <c r="K109" s="183"/>
      <c r="L109" s="183"/>
      <c r="M109" s="186"/>
      <c r="N109" s="183"/>
      <c r="O109" s="196"/>
      <c r="P109"/>
      <c r="Q109"/>
      <c r="R109"/>
      <c r="S109"/>
      <c r="T109"/>
    </row>
    <row r="110" spans="1:20" x14ac:dyDescent="0.15">
      <c r="A110" s="211" t="s">
        <v>87</v>
      </c>
      <c r="B110" s="119">
        <v>0</v>
      </c>
      <c r="C110" s="119">
        <v>0</v>
      </c>
      <c r="D110" s="119">
        <v>5.0000000000000001E-3</v>
      </c>
      <c r="E110" s="119">
        <v>0.01</v>
      </c>
      <c r="F110" s="119">
        <v>1.4999999999999999E-2</v>
      </c>
      <c r="G110" s="119">
        <v>0.02</v>
      </c>
      <c r="H110" s="90">
        <v>2.4500000000000001E-2</v>
      </c>
      <c r="I110" s="90">
        <v>2.75E-2</v>
      </c>
      <c r="J110" s="90">
        <v>3.5000000000000003E-2</v>
      </c>
      <c r="K110" s="177">
        <v>6.5000000000000002E-2</v>
      </c>
      <c r="L110" s="119">
        <v>4.4999999999999998E-2</v>
      </c>
      <c r="M110" s="119">
        <v>0.05</v>
      </c>
      <c r="N110" s="119">
        <v>5.5E-2</v>
      </c>
      <c r="O110" s="119">
        <v>0.06</v>
      </c>
      <c r="P110"/>
      <c r="Q110"/>
      <c r="R110"/>
      <c r="S110"/>
      <c r="T110"/>
    </row>
    <row r="111" spans="1:20" x14ac:dyDescent="0.15">
      <c r="A111" s="212"/>
      <c r="B111" s="119"/>
      <c r="C111" s="119"/>
      <c r="D111" s="119"/>
      <c r="E111" s="119"/>
      <c r="F111" s="119"/>
      <c r="G111" s="119"/>
      <c r="H111" s="90"/>
      <c r="I111" s="119">
        <v>0</v>
      </c>
      <c r="J111" s="90">
        <v>3.5000000000000003E-2</v>
      </c>
      <c r="K111" s="177">
        <v>6.5000000000000002E-2</v>
      </c>
      <c r="L111" s="119"/>
      <c r="M111" s="119"/>
      <c r="N111" s="119"/>
      <c r="O111" s="119"/>
      <c r="P111"/>
      <c r="Q111"/>
      <c r="R111"/>
      <c r="S111"/>
      <c r="T111"/>
    </row>
    <row r="112" spans="1:20" x14ac:dyDescent="0.15">
      <c r="A112" s="212"/>
      <c r="B112" s="119"/>
      <c r="C112" s="119"/>
      <c r="D112" s="119"/>
      <c r="E112" s="119"/>
      <c r="F112" s="119"/>
      <c r="G112" s="119"/>
      <c r="H112" s="90"/>
      <c r="I112" s="119"/>
      <c r="J112" s="90"/>
      <c r="K112" s="90"/>
      <c r="L112" s="119"/>
      <c r="M112" s="119"/>
      <c r="N112" s="119"/>
      <c r="O112" s="119"/>
      <c r="P112"/>
      <c r="Q112"/>
      <c r="R112"/>
      <c r="S112"/>
      <c r="T112"/>
    </row>
    <row r="113" spans="1:20" x14ac:dyDescent="0.15">
      <c r="A113" s="211" t="s">
        <v>91</v>
      </c>
      <c r="B113" s="181">
        <v>2012</v>
      </c>
      <c r="C113" s="181">
        <v>2013</v>
      </c>
      <c r="D113" s="181">
        <v>2014</v>
      </c>
      <c r="E113" s="181">
        <v>2015</v>
      </c>
      <c r="F113" s="181">
        <v>2016</v>
      </c>
      <c r="G113" s="181">
        <v>2017</v>
      </c>
      <c r="H113" s="181">
        <v>2018</v>
      </c>
      <c r="I113" s="181">
        <v>2019</v>
      </c>
      <c r="J113" s="181">
        <v>2020</v>
      </c>
      <c r="K113" s="181">
        <v>2021</v>
      </c>
      <c r="L113" s="181">
        <v>2022</v>
      </c>
      <c r="M113" s="181">
        <v>2023</v>
      </c>
      <c r="N113" s="181">
        <v>2024</v>
      </c>
      <c r="O113" s="181">
        <v>2025</v>
      </c>
      <c r="P113"/>
      <c r="Q113"/>
      <c r="R113"/>
      <c r="S113"/>
      <c r="T113"/>
    </row>
    <row r="114" spans="1:20" x14ac:dyDescent="0.15">
      <c r="A114" s="212" t="s">
        <v>76</v>
      </c>
      <c r="B114" s="183">
        <v>4814</v>
      </c>
      <c r="C114" s="183">
        <v>4814</v>
      </c>
      <c r="D114" s="183">
        <v>4814</v>
      </c>
      <c r="E114" s="183">
        <v>4857</v>
      </c>
      <c r="F114" s="183">
        <v>4881</v>
      </c>
      <c r="G114" s="183">
        <v>4895</v>
      </c>
      <c r="H114" s="183">
        <v>4934</v>
      </c>
      <c r="I114" s="183">
        <v>4993</v>
      </c>
      <c r="J114" s="183">
        <v>5072</v>
      </c>
      <c r="K114" s="183">
        <v>5142</v>
      </c>
      <c r="L114" s="183"/>
      <c r="M114" s="183"/>
      <c r="N114" s="183"/>
      <c r="O114" s="183"/>
      <c r="P114"/>
      <c r="Q114"/>
      <c r="R114"/>
      <c r="S114"/>
      <c r="T114"/>
    </row>
    <row r="115" spans="1:20" x14ac:dyDescent="0.15">
      <c r="A115" s="212" t="s">
        <v>77</v>
      </c>
      <c r="B115" s="183">
        <v>32539</v>
      </c>
      <c r="C115" s="183">
        <v>32539</v>
      </c>
      <c r="D115" s="183">
        <v>32539</v>
      </c>
      <c r="E115" s="183">
        <v>32832</v>
      </c>
      <c r="F115" s="183">
        <v>32969</v>
      </c>
      <c r="G115" s="183">
        <v>33065</v>
      </c>
      <c r="H115" s="183">
        <v>33331</v>
      </c>
      <c r="I115" s="183">
        <v>29753</v>
      </c>
      <c r="J115" s="183">
        <v>30234</v>
      </c>
      <c r="K115" s="96">
        <v>33331</v>
      </c>
      <c r="L115" s="183"/>
      <c r="M115" s="183"/>
      <c r="N115" s="183"/>
      <c r="O115" s="183"/>
      <c r="P115"/>
      <c r="Q115"/>
      <c r="R115"/>
      <c r="S115"/>
      <c r="T115"/>
    </row>
    <row r="116" spans="1:20" x14ac:dyDescent="0.15">
      <c r="A116" s="212" t="s">
        <v>118</v>
      </c>
      <c r="B116" s="120">
        <f>IF(B79=TRUE,1.837%,4%)</f>
        <v>0.04</v>
      </c>
      <c r="C116" s="120">
        <f>IF(C79=TRUE,2.064%,4%)</f>
        <v>0.04</v>
      </c>
      <c r="D116" s="120">
        <f>IF(D79=TRUE,2.038%,4%)</f>
        <v>0.04</v>
      </c>
      <c r="E116" s="120">
        <f>IF(E79=TRUE,2.037%,4%)</f>
        <v>0.04</v>
      </c>
      <c r="F116" s="120">
        <f>IF(F79=TRUE,3.143%,6.159%)</f>
        <v>6.1589999999999999E-2</v>
      </c>
      <c r="G116" s="120">
        <f>IF(G79=TRUE,3.143%,6.159%)</f>
        <v>6.1589999999999999E-2</v>
      </c>
      <c r="H116" s="120">
        <f>IF(H79=TRUE,3.143%,6.159%)</f>
        <v>6.1589999999999999E-2</v>
      </c>
      <c r="I116" s="120">
        <f>IF(I79=TRUE,5.86%,11.45%)</f>
        <v>0.11449999999999999</v>
      </c>
      <c r="J116" s="120">
        <f>IF(J79=TRUE,5.963%,11.45%)</f>
        <v>0.11449999999999999</v>
      </c>
      <c r="K116" s="178">
        <f>IF(K79=TRUE,5.963%,11.45%)</f>
        <v>0.11449999999999999</v>
      </c>
      <c r="L116" s="122"/>
      <c r="M116" s="122"/>
      <c r="N116" s="122"/>
      <c r="O116" s="122"/>
      <c r="P116"/>
      <c r="Q116"/>
      <c r="R116"/>
      <c r="S116"/>
      <c r="T116"/>
    </row>
    <row r="117" spans="1:20" x14ac:dyDescent="0.15">
      <c r="A117" s="212" t="s">
        <v>83</v>
      </c>
      <c r="B117" s="183">
        <f>IF($B$37=TRUE,IF(B79=TRUE,471,1024),0)</f>
        <v>0</v>
      </c>
      <c r="C117" s="183">
        <f>IF($B$37=TRUE,IF(C79=TRUE,529,1024),0)</f>
        <v>0</v>
      </c>
      <c r="D117" s="183">
        <f>IF($B$37=TRUE,IF(D79=TRUE,528,1024),0)</f>
        <v>0</v>
      </c>
      <c r="E117" s="183">
        <f>IF($B$37=TRUE,IF(E79=TRUE,528,1033),0)</f>
        <v>0</v>
      </c>
      <c r="F117" s="183">
        <f>IF($B$37=TRUE,IF(F79=TRUE,531,1039),0)</f>
        <v>0</v>
      </c>
      <c r="G117" s="183">
        <f>IF($B$37=TRUE,IF(G79=TRUE,533,1043),0)</f>
        <v>0</v>
      </c>
      <c r="H117" s="183">
        <f>IF($B$37=TRUE,IF(H79=TRUE,537,1052),0)</f>
        <v>0</v>
      </c>
      <c r="I117" s="183">
        <f>IF($B$37=TRUE,IF(I79=TRUE,0,0),0)</f>
        <v>0</v>
      </c>
      <c r="J117" s="183">
        <f>IF($B$37=TRUE,IF(J79=TRUE,0,0),0)</f>
        <v>0</v>
      </c>
      <c r="K117" s="96">
        <f>IF($B$37=TRUE,IF(K79=TRUE,0,0),0)</f>
        <v>0</v>
      </c>
      <c r="L117" s="183"/>
      <c r="M117" s="186"/>
      <c r="N117" s="183"/>
      <c r="O117" s="196"/>
      <c r="P117"/>
      <c r="Q117"/>
      <c r="R117"/>
      <c r="S117"/>
      <c r="T117"/>
    </row>
    <row r="118" spans="1:20" x14ac:dyDescent="0.15">
      <c r="A118" s="212" t="s">
        <v>82</v>
      </c>
      <c r="B118" s="183">
        <f>IF(B79=TRUE,980,2133)</f>
        <v>2133</v>
      </c>
      <c r="C118" s="183">
        <f>IF(C79=TRUE,1102,2133)</f>
        <v>2133</v>
      </c>
      <c r="D118" s="183">
        <f>IF(D79=TRUE,1081,2133)</f>
        <v>2133</v>
      </c>
      <c r="E118" s="183">
        <f>IF(E79=TRUE,1098,2152)</f>
        <v>2152</v>
      </c>
      <c r="F118" s="183">
        <f>IF(F79=TRUE,1413,2769)</f>
        <v>2769</v>
      </c>
      <c r="G118" s="183">
        <f>IF(G79=TRUE,1418,2778)</f>
        <v>2778</v>
      </c>
      <c r="H118" s="183">
        <f>IF(H79=TRUE,1431,2801)</f>
        <v>2801</v>
      </c>
      <c r="I118" s="183">
        <f>IF(I79=TRUE,1452,2835)</f>
        <v>2835</v>
      </c>
      <c r="J118" s="183">
        <f>IF(J79=TRUE,1452,2881)</f>
        <v>2881</v>
      </c>
      <c r="K118" s="183">
        <f>IF(K79=TRUE,1452,2881)</f>
        <v>2881</v>
      </c>
      <c r="L118" s="183"/>
      <c r="M118" s="186"/>
      <c r="N118" s="183"/>
      <c r="O118" s="196"/>
      <c r="P118"/>
      <c r="Q118"/>
      <c r="R118"/>
      <c r="S118"/>
      <c r="T118"/>
    </row>
    <row r="119" spans="1:20" x14ac:dyDescent="0.15">
      <c r="A119" s="212"/>
      <c r="B119" s="183"/>
      <c r="C119" s="183"/>
      <c r="D119" s="186"/>
      <c r="E119" s="183"/>
      <c r="F119" s="196"/>
      <c r="G119" s="197"/>
      <c r="H119" s="197"/>
      <c r="I119" s="183"/>
      <c r="J119" s="183"/>
      <c r="K119" s="183"/>
      <c r="L119" s="183"/>
      <c r="M119" s="186"/>
      <c r="N119" s="183"/>
      <c r="O119" s="196"/>
      <c r="P119"/>
      <c r="Q119"/>
      <c r="R119"/>
      <c r="S119"/>
      <c r="T119"/>
    </row>
    <row r="120" spans="1:20" x14ac:dyDescent="0.15">
      <c r="A120" s="181" t="s">
        <v>119</v>
      </c>
      <c r="B120" s="181">
        <v>2012</v>
      </c>
      <c r="C120" s="181">
        <v>2013</v>
      </c>
      <c r="D120" s="181">
        <v>2014</v>
      </c>
      <c r="E120" s="181">
        <v>2015</v>
      </c>
      <c r="F120" s="181">
        <v>2016</v>
      </c>
      <c r="G120" s="181">
        <v>2017</v>
      </c>
      <c r="H120" s="181">
        <v>2018</v>
      </c>
      <c r="I120" s="181">
        <v>2019</v>
      </c>
      <c r="J120" s="181">
        <v>2020</v>
      </c>
      <c r="K120" s="181">
        <v>2021</v>
      </c>
      <c r="L120" s="181">
        <v>2022</v>
      </c>
      <c r="M120" s="181">
        <v>2023</v>
      </c>
      <c r="N120" s="181">
        <v>2024</v>
      </c>
      <c r="O120" s="181">
        <v>2025</v>
      </c>
      <c r="P120"/>
      <c r="Q120"/>
      <c r="R120"/>
      <c r="S120"/>
      <c r="T120"/>
    </row>
    <row r="121" spans="1:20" x14ac:dyDescent="0.15">
      <c r="A121" s="212" t="s">
        <v>120</v>
      </c>
      <c r="B121" s="90">
        <v>7.0999999999999994E-2</v>
      </c>
      <c r="C121" s="90">
        <v>7.7499999999999999E-2</v>
      </c>
      <c r="D121" s="90">
        <v>7.4999999999999997E-2</v>
      </c>
      <c r="E121" s="90">
        <v>6.9500000000000006E-2</v>
      </c>
      <c r="F121" s="90">
        <v>6.7500000000000004E-2</v>
      </c>
      <c r="G121" s="90">
        <v>6.6500000000000004E-2</v>
      </c>
      <c r="H121" s="90">
        <v>6.9000000000000006E-2</v>
      </c>
      <c r="I121" s="186">
        <v>6.9500000000000006E-2</v>
      </c>
      <c r="J121" s="186">
        <v>6.7000000000000004E-2</v>
      </c>
      <c r="K121" s="175">
        <f t="shared" ref="K121:O123" si="2">J121</f>
        <v>6.7000000000000004E-2</v>
      </c>
      <c r="L121" s="175">
        <f t="shared" si="2"/>
        <v>6.7000000000000004E-2</v>
      </c>
      <c r="M121" s="175">
        <f t="shared" si="2"/>
        <v>6.7000000000000004E-2</v>
      </c>
      <c r="N121" s="175">
        <f t="shared" si="2"/>
        <v>6.7000000000000004E-2</v>
      </c>
      <c r="O121" s="175">
        <f t="shared" si="2"/>
        <v>6.7000000000000004E-2</v>
      </c>
      <c r="P121"/>
      <c r="Q121"/>
      <c r="R121"/>
      <c r="S121"/>
      <c r="T121"/>
    </row>
    <row r="122" spans="1:20" x14ac:dyDescent="0.15">
      <c r="A122" s="212" t="s">
        <v>121</v>
      </c>
      <c r="B122" s="123">
        <v>0.05</v>
      </c>
      <c r="C122" s="123">
        <v>5.6500000000000002E-2</v>
      </c>
      <c r="D122" s="123">
        <v>5.3999999999999999E-2</v>
      </c>
      <c r="E122" s="123">
        <v>4.8500000000000001E-2</v>
      </c>
      <c r="F122" s="90">
        <v>5.5E-2</v>
      </c>
      <c r="G122" s="90">
        <v>5.3999999999999999E-2</v>
      </c>
      <c r="H122" s="90">
        <v>5.6500000000000002E-2</v>
      </c>
      <c r="I122" s="186">
        <v>5.7000000000000002E-2</v>
      </c>
      <c r="J122" s="186">
        <v>5.45E-2</v>
      </c>
      <c r="K122" s="175">
        <f t="shared" si="2"/>
        <v>5.45E-2</v>
      </c>
      <c r="L122" s="175">
        <f t="shared" si="2"/>
        <v>5.45E-2</v>
      </c>
      <c r="M122" s="175">
        <f t="shared" si="2"/>
        <v>5.45E-2</v>
      </c>
      <c r="N122" s="175">
        <f t="shared" si="2"/>
        <v>5.45E-2</v>
      </c>
      <c r="O122" s="175">
        <f t="shared" si="2"/>
        <v>5.45E-2</v>
      </c>
      <c r="P122"/>
      <c r="Q122"/>
      <c r="R122"/>
      <c r="S122"/>
      <c r="T122"/>
    </row>
    <row r="123" spans="1:20" x14ac:dyDescent="0.15">
      <c r="A123" s="212" t="s">
        <v>122</v>
      </c>
      <c r="B123" s="203">
        <v>50064</v>
      </c>
      <c r="C123" s="203">
        <v>50853</v>
      </c>
      <c r="D123" s="203">
        <v>51414</v>
      </c>
      <c r="E123" s="203">
        <v>51976</v>
      </c>
      <c r="F123" s="203">
        <v>52763</v>
      </c>
      <c r="G123" s="204">
        <v>53701</v>
      </c>
      <c r="H123" s="205">
        <v>54614</v>
      </c>
      <c r="I123" s="205">
        <v>55923</v>
      </c>
      <c r="J123" s="182">
        <v>57232</v>
      </c>
      <c r="K123" s="206">
        <f t="shared" si="2"/>
        <v>57232</v>
      </c>
      <c r="L123" s="206">
        <f t="shared" si="2"/>
        <v>57232</v>
      </c>
      <c r="M123" s="206">
        <f t="shared" si="2"/>
        <v>57232</v>
      </c>
      <c r="N123" s="206">
        <f t="shared" si="2"/>
        <v>57232</v>
      </c>
      <c r="O123" s="206">
        <f t="shared" si="2"/>
        <v>57232</v>
      </c>
      <c r="P123"/>
      <c r="Q123"/>
      <c r="R123"/>
      <c r="S123"/>
      <c r="T123"/>
    </row>
    <row r="124" spans="1:20" x14ac:dyDescent="0.15">
      <c r="A124" s="212"/>
      <c r="B124" s="183"/>
      <c r="C124" s="183"/>
      <c r="D124" s="186"/>
      <c r="E124" s="183"/>
      <c r="F124" s="196"/>
      <c r="G124" s="197"/>
      <c r="H124" s="197"/>
      <c r="I124" s="183"/>
      <c r="J124" s="183"/>
      <c r="K124" s="183"/>
      <c r="L124" s="183"/>
      <c r="M124" s="186"/>
      <c r="N124" s="183"/>
      <c r="O124" s="196"/>
      <c r="P124"/>
      <c r="Q124"/>
      <c r="R124"/>
      <c r="S124"/>
      <c r="T124"/>
    </row>
    <row r="125" spans="1:20" x14ac:dyDescent="0.15">
      <c r="A125" s="211" t="s">
        <v>96</v>
      </c>
      <c r="B125" s="181">
        <v>2012</v>
      </c>
      <c r="C125" s="181">
        <v>2013</v>
      </c>
      <c r="D125" s="181">
        <v>2014</v>
      </c>
      <c r="E125" s="181">
        <v>2015</v>
      </c>
      <c r="F125" s="181">
        <v>2016</v>
      </c>
      <c r="G125" s="181">
        <v>2017</v>
      </c>
      <c r="H125" s="181">
        <v>2018</v>
      </c>
      <c r="I125" s="181">
        <v>2019</v>
      </c>
      <c r="J125" s="181">
        <v>2020</v>
      </c>
      <c r="K125" s="181">
        <v>2021</v>
      </c>
      <c r="L125" s="181">
        <v>2022</v>
      </c>
      <c r="M125" s="181">
        <v>2023</v>
      </c>
      <c r="N125" s="181">
        <v>2024</v>
      </c>
      <c r="O125" s="181">
        <v>2025</v>
      </c>
      <c r="P125"/>
      <c r="Q125"/>
      <c r="R125"/>
      <c r="S125"/>
      <c r="T125"/>
    </row>
    <row r="126" spans="1:20" x14ac:dyDescent="0.15">
      <c r="A126" s="212" t="s">
        <v>9</v>
      </c>
      <c r="B126" s="124">
        <v>0.12</v>
      </c>
      <c r="C126" s="124">
        <v>0.12</v>
      </c>
      <c r="D126" s="186">
        <v>0.109</v>
      </c>
      <c r="E126" s="90">
        <v>9.8000000000000004E-2</v>
      </c>
      <c r="F126" s="90">
        <v>9.8000000000000004E-2</v>
      </c>
      <c r="G126" s="90">
        <v>9.8000000000000004E-2</v>
      </c>
      <c r="H126" s="90">
        <v>9.4399999999999998E-2</v>
      </c>
      <c r="I126" s="90">
        <v>9.4399999999999998E-2</v>
      </c>
      <c r="J126" s="90">
        <f>I126</f>
        <v>9.4399999999999998E-2</v>
      </c>
      <c r="K126" s="177">
        <f t="shared" ref="K126:O127" si="3">J126</f>
        <v>9.4399999999999998E-2</v>
      </c>
      <c r="L126" s="177">
        <f t="shared" si="3"/>
        <v>9.4399999999999998E-2</v>
      </c>
      <c r="M126" s="177">
        <f t="shared" si="3"/>
        <v>9.4399999999999998E-2</v>
      </c>
      <c r="N126" s="177">
        <f t="shared" si="3"/>
        <v>9.4399999999999998E-2</v>
      </c>
      <c r="O126" s="177">
        <f t="shared" si="3"/>
        <v>9.4399999999999998E-2</v>
      </c>
      <c r="P126"/>
      <c r="Q126"/>
      <c r="R126"/>
      <c r="S126"/>
      <c r="T126"/>
    </row>
    <row r="127" spans="1:20" x14ac:dyDescent="0.15">
      <c r="A127" s="212" t="s">
        <v>123</v>
      </c>
      <c r="B127" s="182">
        <v>9542</v>
      </c>
      <c r="C127" s="182">
        <v>9542</v>
      </c>
      <c r="D127" s="182">
        <v>9542</v>
      </c>
      <c r="E127" s="182">
        <v>8631</v>
      </c>
      <c r="F127" s="182">
        <v>8774</v>
      </c>
      <c r="G127" s="182">
        <v>8946</v>
      </c>
      <c r="H127" s="182">
        <v>8775</v>
      </c>
      <c r="I127" s="182">
        <v>8999</v>
      </c>
      <c r="J127" s="182">
        <v>9218</v>
      </c>
      <c r="K127" s="206">
        <f t="shared" si="3"/>
        <v>9218</v>
      </c>
      <c r="L127" s="206">
        <f t="shared" si="3"/>
        <v>9218</v>
      </c>
      <c r="M127" s="206">
        <f t="shared" si="3"/>
        <v>9218</v>
      </c>
      <c r="N127" s="206">
        <f t="shared" si="3"/>
        <v>9218</v>
      </c>
      <c r="O127" s="206">
        <f t="shared" si="3"/>
        <v>9218</v>
      </c>
      <c r="P127"/>
      <c r="Q127"/>
      <c r="R127"/>
      <c r="S127"/>
      <c r="T127"/>
    </row>
    <row r="128" spans="1:20" x14ac:dyDescent="0.15">
      <c r="A128" s="212"/>
      <c r="B128" s="183"/>
      <c r="C128" s="183"/>
      <c r="D128" s="183"/>
      <c r="E128" s="183"/>
      <c r="F128" s="183"/>
      <c r="G128" s="202"/>
      <c r="H128" s="202"/>
      <c r="I128" s="183"/>
      <c r="J128" s="183"/>
      <c r="K128" s="183"/>
      <c r="L128" s="183"/>
      <c r="M128" s="183"/>
      <c r="N128" s="183"/>
      <c r="O128" s="183"/>
      <c r="P128"/>
      <c r="Q128"/>
      <c r="R128"/>
      <c r="S128"/>
      <c r="T128"/>
    </row>
    <row r="129" spans="1:20" x14ac:dyDescent="0.15">
      <c r="A129" s="181"/>
      <c r="B129" s="181">
        <v>2012</v>
      </c>
      <c r="C129" s="181">
        <v>2013</v>
      </c>
      <c r="D129" s="181">
        <v>2014</v>
      </c>
      <c r="E129" s="181">
        <v>2015</v>
      </c>
      <c r="F129" s="181">
        <v>2016</v>
      </c>
      <c r="G129" s="181">
        <v>2017</v>
      </c>
      <c r="H129" s="181">
        <v>2018</v>
      </c>
      <c r="I129" s="181">
        <v>2019</v>
      </c>
      <c r="J129" s="181">
        <v>2020</v>
      </c>
      <c r="K129" s="181">
        <v>2021</v>
      </c>
      <c r="L129" s="181">
        <v>2022</v>
      </c>
      <c r="M129" s="181">
        <v>2023</v>
      </c>
      <c r="N129" s="181">
        <v>2024</v>
      </c>
      <c r="O129" s="181">
        <v>2025</v>
      </c>
      <c r="P129" s="181">
        <v>2026</v>
      </c>
      <c r="Q129" s="181">
        <v>2027</v>
      </c>
      <c r="R129" s="181">
        <v>2028</v>
      </c>
      <c r="S129" s="181">
        <v>2029</v>
      </c>
      <c r="T129" s="181">
        <v>2030</v>
      </c>
    </row>
    <row r="130" spans="1:20" x14ac:dyDescent="0.15">
      <c r="A130" s="211" t="s">
        <v>11</v>
      </c>
      <c r="B130" s="183">
        <f t="shared" ref="B130:G130" si="4">IF($B79,3640,7280)</f>
        <v>7280</v>
      </c>
      <c r="C130" s="183">
        <f t="shared" si="4"/>
        <v>7280</v>
      </c>
      <c r="D130" s="183">
        <f t="shared" si="4"/>
        <v>7280</v>
      </c>
      <c r="E130" s="183">
        <f t="shared" si="4"/>
        <v>7280</v>
      </c>
      <c r="F130" s="183">
        <f t="shared" si="4"/>
        <v>7280</v>
      </c>
      <c r="G130" s="183">
        <f t="shared" si="4"/>
        <v>7280</v>
      </c>
      <c r="H130" s="183">
        <f>IF(H79,3640,7280)</f>
        <v>7280</v>
      </c>
      <c r="I130" s="183">
        <f>IF(I79,3640,7280)</f>
        <v>7280</v>
      </c>
      <c r="J130" s="183">
        <f>I130-250</f>
        <v>7030</v>
      </c>
      <c r="K130" s="96">
        <f t="shared" ref="K130:O130" si="5">J130-250</f>
        <v>6780</v>
      </c>
      <c r="L130" s="96">
        <f t="shared" si="5"/>
        <v>6530</v>
      </c>
      <c r="M130" s="96">
        <f t="shared" si="5"/>
        <v>6280</v>
      </c>
      <c r="N130" s="96">
        <f t="shared" si="5"/>
        <v>6030</v>
      </c>
      <c r="O130" s="96">
        <f t="shared" si="5"/>
        <v>5780</v>
      </c>
      <c r="P130" s="96">
        <f t="shared" ref="P130:Q130" si="6">O130-250</f>
        <v>5530</v>
      </c>
      <c r="Q130" s="96">
        <f t="shared" si="6"/>
        <v>5280</v>
      </c>
      <c r="R130" s="96">
        <v>5000</v>
      </c>
      <c r="S130" s="96"/>
      <c r="T130" s="96"/>
    </row>
    <row r="131" spans="1:20" x14ac:dyDescent="0.15">
      <c r="A131" s="211" t="s">
        <v>12</v>
      </c>
      <c r="B131" s="183">
        <f t="shared" ref="B131:G131" si="7">IF($B79,1062,2123)</f>
        <v>2123</v>
      </c>
      <c r="C131" s="183">
        <f t="shared" si="7"/>
        <v>2123</v>
      </c>
      <c r="D131" s="183">
        <f t="shared" si="7"/>
        <v>2123</v>
      </c>
      <c r="E131" s="183">
        <f t="shared" si="7"/>
        <v>2123</v>
      </c>
      <c r="F131" s="183">
        <f t="shared" si="7"/>
        <v>2123</v>
      </c>
      <c r="G131" s="183">
        <f t="shared" si="7"/>
        <v>2123</v>
      </c>
      <c r="H131" s="183">
        <f>IF(H79,1062,2123)</f>
        <v>2123</v>
      </c>
      <c r="I131" s="183">
        <f>IF(I79,1062,2123)</f>
        <v>2123</v>
      </c>
      <c r="J131" s="183">
        <f>IF(J79,1062,2123)</f>
        <v>2123</v>
      </c>
      <c r="K131" s="96">
        <f>IF(K79,1062,2123)</f>
        <v>2123</v>
      </c>
      <c r="L131" s="200"/>
      <c r="M131" s="200"/>
      <c r="N131" s="200"/>
      <c r="O131" s="200"/>
      <c r="P131"/>
      <c r="Q131"/>
      <c r="R131"/>
      <c r="S131"/>
      <c r="T131"/>
    </row>
    <row r="132" spans="1:20" x14ac:dyDescent="0.15">
      <c r="A132" s="211" t="s">
        <v>124</v>
      </c>
      <c r="B132" s="183"/>
      <c r="C132" s="183"/>
      <c r="D132" s="186"/>
      <c r="E132" s="183"/>
      <c r="F132" s="196"/>
      <c r="G132" s="197"/>
      <c r="H132" s="197"/>
      <c r="I132" s="183"/>
      <c r="J132" s="183"/>
      <c r="K132" s="183"/>
      <c r="L132" s="183"/>
      <c r="M132" s="186"/>
      <c r="N132" s="183"/>
      <c r="O132" s="196"/>
      <c r="P132"/>
      <c r="Q132"/>
      <c r="R132"/>
      <c r="S132"/>
      <c r="T132"/>
    </row>
    <row r="133" spans="1:20" x14ac:dyDescent="0.15">
      <c r="A133" s="212"/>
      <c r="B133" s="183"/>
      <c r="C133" s="183"/>
      <c r="D133" s="186"/>
      <c r="E133" s="183"/>
      <c r="F133" s="196"/>
      <c r="G133" s="197"/>
      <c r="H133" s="197"/>
      <c r="I133" s="183"/>
      <c r="J133" s="183"/>
      <c r="K133" s="183"/>
      <c r="L133" s="183"/>
      <c r="M133" s="186"/>
      <c r="N133" s="183"/>
      <c r="O133" s="196"/>
      <c r="P133"/>
      <c r="Q133"/>
      <c r="R133"/>
      <c r="S133"/>
      <c r="T133"/>
    </row>
    <row r="134" spans="1:20" x14ac:dyDescent="0.15">
      <c r="A134" s="211" t="s">
        <v>14</v>
      </c>
      <c r="B134" s="181">
        <v>2012</v>
      </c>
      <c r="C134" s="181">
        <v>2013</v>
      </c>
      <c r="D134" s="181">
        <v>2014</v>
      </c>
      <c r="E134" s="181">
        <v>2015</v>
      </c>
      <c r="F134" s="181">
        <v>2016</v>
      </c>
      <c r="G134" s="181">
        <v>2017</v>
      </c>
      <c r="H134" s="181">
        <v>2018</v>
      </c>
      <c r="I134" s="181">
        <v>2019</v>
      </c>
      <c r="J134" s="181">
        <v>2020</v>
      </c>
      <c r="K134" s="181">
        <v>2021</v>
      </c>
      <c r="L134" s="181">
        <v>2022</v>
      </c>
      <c r="M134" s="181">
        <v>2023</v>
      </c>
      <c r="N134" s="181">
        <v>2024</v>
      </c>
      <c r="O134" s="181">
        <v>2025</v>
      </c>
      <c r="P134"/>
      <c r="Q134"/>
      <c r="R134"/>
      <c r="S134"/>
      <c r="T134"/>
    </row>
    <row r="135" spans="1:20" x14ac:dyDescent="0.15">
      <c r="A135" s="212"/>
      <c r="B135" s="188">
        <v>0.12</v>
      </c>
      <c r="C135" s="188">
        <v>0.14000000000000001</v>
      </c>
      <c r="D135" s="188">
        <v>0.14000000000000001</v>
      </c>
      <c r="E135" s="188">
        <v>0.14000000000000001</v>
      </c>
      <c r="F135" s="188">
        <v>0.14000000000000001</v>
      </c>
      <c r="G135" s="188">
        <v>0.14000000000000001</v>
      </c>
      <c r="H135" s="188">
        <v>0.14000000000000001</v>
      </c>
      <c r="I135" s="188">
        <v>0.14000000000000001</v>
      </c>
      <c r="J135" s="188">
        <v>0.14000000000000001</v>
      </c>
      <c r="K135" s="207">
        <v>0.14000000000000001</v>
      </c>
      <c r="L135" s="188">
        <v>0.14000000000000001</v>
      </c>
      <c r="M135" s="188">
        <v>0.14000000000000001</v>
      </c>
      <c r="N135" s="188">
        <v>0.14000000000000001</v>
      </c>
      <c r="O135" s="188">
        <v>0.14000000000000001</v>
      </c>
      <c r="P135"/>
      <c r="Q135"/>
      <c r="R135"/>
      <c r="S135"/>
      <c r="T135"/>
    </row>
    <row r="136" spans="1:20" x14ac:dyDescent="0.15">
      <c r="A136" s="212"/>
      <c r="B136" s="183"/>
      <c r="C136" s="183"/>
      <c r="D136" s="183"/>
      <c r="E136" s="183"/>
      <c r="F136" s="183"/>
      <c r="G136" s="202"/>
      <c r="H136" s="202"/>
      <c r="I136" s="183"/>
      <c r="J136" s="183"/>
      <c r="K136" s="183"/>
      <c r="L136" s="183"/>
      <c r="M136" s="183"/>
      <c r="N136" s="183"/>
      <c r="O136" s="183"/>
      <c r="P136"/>
      <c r="Q136"/>
      <c r="R136"/>
      <c r="S136"/>
      <c r="T136"/>
    </row>
    <row r="137" spans="1:20" x14ac:dyDescent="0.15">
      <c r="A137" s="211" t="s">
        <v>8</v>
      </c>
      <c r="B137" s="181">
        <v>2012</v>
      </c>
      <c r="C137" s="181">
        <v>2013</v>
      </c>
      <c r="D137" s="181">
        <v>2014</v>
      </c>
      <c r="E137" s="181">
        <v>2015</v>
      </c>
      <c r="F137" s="181">
        <v>2016</v>
      </c>
      <c r="G137" s="181">
        <v>2017</v>
      </c>
      <c r="H137" s="181">
        <v>2018</v>
      </c>
      <c r="I137" s="181">
        <v>2019</v>
      </c>
      <c r="J137" s="181">
        <v>2020</v>
      </c>
      <c r="K137" s="181">
        <v>2021</v>
      </c>
      <c r="L137" s="181">
        <v>2022</v>
      </c>
      <c r="M137" s="181">
        <v>2023</v>
      </c>
      <c r="N137" s="181">
        <v>2024</v>
      </c>
      <c r="O137" s="181">
        <v>2025</v>
      </c>
      <c r="P137"/>
      <c r="Q137"/>
      <c r="R137"/>
      <c r="S137"/>
      <c r="T137"/>
    </row>
    <row r="138" spans="1:20" x14ac:dyDescent="0.15">
      <c r="A138" s="212" t="s">
        <v>125</v>
      </c>
      <c r="B138" s="208">
        <v>1040000</v>
      </c>
      <c r="C138" s="208">
        <v>1040000</v>
      </c>
      <c r="D138" s="208">
        <v>1040000</v>
      </c>
      <c r="E138" s="208">
        <v>1050000</v>
      </c>
      <c r="F138" s="208">
        <v>1050000</v>
      </c>
      <c r="G138" s="208">
        <v>1060000</v>
      </c>
      <c r="H138" s="208">
        <v>1060000</v>
      </c>
      <c r="I138" s="208">
        <v>1080000</v>
      </c>
      <c r="J138" s="208">
        <v>1090000</v>
      </c>
      <c r="K138" s="209">
        <f t="shared" ref="K138:O138" si="8">J138</f>
        <v>1090000</v>
      </c>
      <c r="L138" s="209">
        <f t="shared" si="8"/>
        <v>1090000</v>
      </c>
      <c r="M138" s="209">
        <f t="shared" si="8"/>
        <v>1090000</v>
      </c>
      <c r="N138" s="209">
        <f t="shared" si="8"/>
        <v>1090000</v>
      </c>
      <c r="O138" s="209">
        <f t="shared" si="8"/>
        <v>1090000</v>
      </c>
      <c r="P138"/>
      <c r="Q138"/>
      <c r="R138"/>
      <c r="S138"/>
      <c r="T138"/>
    </row>
    <row r="139" spans="1:20" x14ac:dyDescent="0.15">
      <c r="A139" s="212">
        <v>12500</v>
      </c>
      <c r="B139" s="186">
        <v>2E-3</v>
      </c>
      <c r="C139" s="186">
        <v>2E-3</v>
      </c>
      <c r="D139" s="186">
        <v>2.5000000000000001E-3</v>
      </c>
      <c r="E139" s="186">
        <v>3.0000000000000001E-3</v>
      </c>
      <c r="F139" s="186">
        <v>3.0000000000000001E-3</v>
      </c>
      <c r="G139" s="186">
        <v>3.0000000000000001E-3</v>
      </c>
      <c r="H139" s="186">
        <v>2.5000000000000001E-3</v>
      </c>
      <c r="I139" s="186">
        <v>2.5000000000000001E-3</v>
      </c>
      <c r="J139" s="186">
        <v>2E-3</v>
      </c>
      <c r="K139" s="186">
        <v>2E-3</v>
      </c>
      <c r="L139" s="186">
        <v>2E-3</v>
      </c>
      <c r="M139" s="186">
        <v>1.5E-3</v>
      </c>
      <c r="N139" s="183"/>
      <c r="O139" s="183"/>
      <c r="P139"/>
      <c r="Q139"/>
      <c r="R139"/>
      <c r="S139"/>
      <c r="T139"/>
    </row>
    <row r="140" spans="1:20" x14ac:dyDescent="0.15">
      <c r="A140" s="212">
        <v>25000</v>
      </c>
      <c r="B140" s="210">
        <v>3.5000000000000001E-3</v>
      </c>
      <c r="C140" s="210">
        <v>3.5000000000000001E-3</v>
      </c>
      <c r="D140" s="210">
        <v>4.0000000000000001E-3</v>
      </c>
      <c r="E140" s="210">
        <v>4.4999999999999997E-3</v>
      </c>
      <c r="F140" s="210">
        <v>4.4999999999999997E-3</v>
      </c>
      <c r="G140" s="210">
        <v>4.4999999999999997E-3</v>
      </c>
      <c r="H140" s="210">
        <v>4.0000000000000001E-3</v>
      </c>
      <c r="I140" s="176">
        <v>3.5000000000000001E-3</v>
      </c>
      <c r="J140" s="176">
        <v>3.5000000000000001E-3</v>
      </c>
      <c r="K140" s="176">
        <v>3.0000000000000001E-3</v>
      </c>
      <c r="L140" s="176">
        <v>3.0000000000000001E-3</v>
      </c>
      <c r="M140" s="176">
        <v>2.5000000000000001E-3</v>
      </c>
      <c r="N140" s="203"/>
      <c r="O140" s="203"/>
      <c r="P140"/>
      <c r="Q140"/>
      <c r="R140"/>
      <c r="S140"/>
      <c r="T140"/>
    </row>
    <row r="141" spans="1:20" x14ac:dyDescent="0.15">
      <c r="A141" s="212">
        <v>50000</v>
      </c>
      <c r="B141" s="186">
        <v>4.4999999999999997E-3</v>
      </c>
      <c r="C141" s="186">
        <v>4.4999999999999997E-3</v>
      </c>
      <c r="D141" s="186">
        <v>5.4999999999999997E-3</v>
      </c>
      <c r="E141" s="186">
        <v>6.0000000000000001E-3</v>
      </c>
      <c r="F141" s="186">
        <v>6.0000000000000001E-3</v>
      </c>
      <c r="G141" s="186">
        <v>6.0000000000000001E-3</v>
      </c>
      <c r="H141" s="186">
        <v>5.4999999999999997E-3</v>
      </c>
      <c r="I141" s="176">
        <v>5.0000000000000001E-3</v>
      </c>
      <c r="J141" s="176">
        <v>4.4999999999999997E-3</v>
      </c>
      <c r="K141" s="176">
        <v>4.0000000000000001E-3</v>
      </c>
      <c r="L141" s="176">
        <v>4.0000000000000001E-3</v>
      </c>
      <c r="M141" s="176">
        <v>3.5000000000000001E-3</v>
      </c>
      <c r="N141" s="183"/>
      <c r="O141" s="196"/>
      <c r="P141"/>
      <c r="Q141"/>
      <c r="R141"/>
      <c r="S141"/>
      <c r="T141"/>
    </row>
    <row r="142" spans="1:20" x14ac:dyDescent="0.15">
      <c r="A142" s="212">
        <v>75000</v>
      </c>
      <c r="B142" s="186">
        <v>6.0000000000000001E-3</v>
      </c>
      <c r="C142" s="186">
        <v>6.0000000000000001E-3</v>
      </c>
      <c r="D142" s="186">
        <v>7.0000000000000001E-3</v>
      </c>
      <c r="E142" s="186">
        <v>7.4999999999999997E-3</v>
      </c>
      <c r="F142" s="186">
        <v>7.4999999999999997E-3</v>
      </c>
      <c r="G142" s="186">
        <v>7.4999999999999997E-3</v>
      </c>
      <c r="H142" s="186">
        <v>7.0000000000000001E-3</v>
      </c>
      <c r="I142" s="176">
        <v>6.4999999999999997E-3</v>
      </c>
      <c r="J142" s="176">
        <v>6.0000000000000001E-3</v>
      </c>
      <c r="K142" s="176">
        <v>5.0000000000000001E-3</v>
      </c>
      <c r="L142" s="176">
        <v>5.0000000000000001E-3</v>
      </c>
      <c r="M142" s="176">
        <v>4.4999999999999997E-3</v>
      </c>
      <c r="N142" s="183"/>
      <c r="O142" s="196"/>
      <c r="P142"/>
      <c r="Q142"/>
      <c r="R142"/>
      <c r="S142"/>
      <c r="T142"/>
    </row>
    <row r="143" spans="1:20" x14ac:dyDescent="0.15">
      <c r="A143" s="212">
        <f>LOOKUP(A1,B137:O137,B138:O138)</f>
        <v>1090000</v>
      </c>
      <c r="B143" s="186">
        <v>1.2999999999999999E-2</v>
      </c>
      <c r="C143" s="186">
        <v>1.55E-2</v>
      </c>
      <c r="D143" s="186">
        <v>1.7999999999999999E-2</v>
      </c>
      <c r="E143" s="186">
        <v>2.0500000000000001E-2</v>
      </c>
      <c r="F143" s="186">
        <v>2.35E-2</v>
      </c>
      <c r="G143" s="186">
        <v>2.35E-2</v>
      </c>
      <c r="H143" s="186">
        <v>2.35E-2</v>
      </c>
      <c r="I143" s="176">
        <v>2.35E-2</v>
      </c>
      <c r="J143" s="176">
        <v>2.35E-2</v>
      </c>
      <c r="K143" s="176">
        <v>2.35E-2</v>
      </c>
      <c r="L143" s="176">
        <v>2.35E-2</v>
      </c>
      <c r="M143" s="176">
        <v>2.35E-2</v>
      </c>
      <c r="N143" s="183"/>
      <c r="O143" s="196"/>
      <c r="P143"/>
      <c r="Q143"/>
      <c r="R143"/>
      <c r="S143"/>
      <c r="T143"/>
    </row>
    <row r="144" spans="1:20" x14ac:dyDescent="0.15">
      <c r="A144" s="212" t="s">
        <v>129</v>
      </c>
      <c r="B144" s="188">
        <v>1</v>
      </c>
      <c r="C144" s="188">
        <v>1</v>
      </c>
      <c r="D144" s="188">
        <v>1</v>
      </c>
      <c r="E144" s="188">
        <v>1</v>
      </c>
      <c r="F144" s="188">
        <v>1</v>
      </c>
      <c r="G144" s="188">
        <v>1</v>
      </c>
      <c r="H144" s="188">
        <v>1</v>
      </c>
      <c r="I144" s="186">
        <f>H144-(1/30)</f>
        <v>0.96666666666666667</v>
      </c>
      <c r="J144" s="186">
        <f t="shared" ref="J144:O144" si="9">I144-(1/30)</f>
        <v>0.93333333333333335</v>
      </c>
      <c r="K144" s="186">
        <f t="shared" si="9"/>
        <v>0.9</v>
      </c>
      <c r="L144" s="186">
        <f t="shared" si="9"/>
        <v>0.8666666666666667</v>
      </c>
      <c r="M144" s="186">
        <f t="shared" si="9"/>
        <v>0.83333333333333337</v>
      </c>
      <c r="N144" s="186">
        <f t="shared" si="9"/>
        <v>0.8</v>
      </c>
      <c r="O144" s="186">
        <f t="shared" si="9"/>
        <v>0.76666666666666672</v>
      </c>
    </row>
  </sheetData>
  <sheetProtection algorithmName="SHA-512" hashValue="Su03QSBjRTrSfira0H854dlb1eS7qC4m8Os2AFqlUwcF7ZFM/T7kXwiFePbFqF5PwGql/qGsoufVY99B68bG4Q==" saltValue="3lZNeHhHxVpPlqsU0AmCo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Home</vt:lpstr>
      <vt:lpstr>1</vt:lpstr>
      <vt:lpstr>'1'!Afdrukbereik</vt:lpstr>
      <vt:lpstr>Home!Afdrukbereik</vt:lpstr>
      <vt:lpstr>'1'!Afdruktitels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2017-05-12T07:22:42Z</dcterms:created>
  <dcterms:modified xsi:type="dcterms:W3CDTF">2020-03-10T09:13:48Z</dcterms:modified>
</cp:coreProperties>
</file>